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3.xml" ContentType="application/vnd.openxmlformats-officedocument.drawingml.chartshapes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6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7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8.xml" ContentType="application/vnd.openxmlformats-officedocument.drawingml.chartshapes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19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0.xml" ContentType="application/vnd.openxmlformats-officedocument.drawingml.chartshap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1.xml" ContentType="application/vnd.openxmlformats-officedocument.drawingml.chartshapes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4.xml" ContentType="application/vnd.openxmlformats-officedocument.drawingml.chartshapes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25.xml" ContentType="application/vnd.openxmlformats-officedocument.drawingml.chartshapes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N:\SRISET\CONJONCTURE_SYNTHESE\2_conjoncture\2c_ponctuel\focus_4-5_taux_autoappro_2024\"/>
    </mc:Choice>
  </mc:AlternateContent>
  <bookViews>
    <workbookView xWindow="0" yWindow="0" windowWidth="29040" windowHeight="15996" tabRatio="720"/>
  </bookViews>
  <sheets>
    <sheet name="Lisez-moi" sheetId="12" r:id="rId1"/>
    <sheet name="Hypothèses conso" sheetId="9" r:id="rId2"/>
    <sheet name="Hypothèses production" sheetId="11" r:id="rId3"/>
    <sheet name="Résultats" sheetId="10" r:id="rId4"/>
    <sheet name="Calcul R84" sheetId="1" state="hidden" r:id="rId5"/>
    <sheet name="Equivalence protéique" sheetId="13" state="hidden" r:id="rId6"/>
    <sheet name="Calcul Fr métro" sheetId="8" state="hidden" r:id="rId7"/>
    <sheet name="cereal - util hum anim indus" sheetId="6" state="hidden" r:id="rId8"/>
    <sheet name="calcul conso" sheetId="2" state="hidden" r:id="rId9"/>
    <sheet name="besoin alim animale" sheetId="3" state="hidden" r:id="rId10"/>
    <sheet name="huile colza tournesol soja" sheetId="5" state="hidden" r:id="rId1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23" i="11" l="1"/>
  <c r="F224" i="11"/>
  <c r="F225" i="11"/>
  <c r="F226" i="11"/>
  <c r="F227" i="11"/>
  <c r="F228" i="11"/>
  <c r="F229" i="11"/>
  <c r="F230" i="11"/>
  <c r="F231" i="11"/>
  <c r="F232" i="11"/>
  <c r="F233" i="11"/>
  <c r="F234" i="11"/>
  <c r="F235" i="11"/>
  <c r="F236" i="11"/>
  <c r="F237" i="11"/>
  <c r="F238" i="11"/>
  <c r="F239" i="11"/>
  <c r="F240" i="11"/>
  <c r="F241" i="11"/>
  <c r="F242" i="11"/>
  <c r="F243" i="11"/>
  <c r="F244" i="11"/>
  <c r="F245" i="11"/>
  <c r="F246" i="11"/>
  <c r="F247" i="11"/>
  <c r="E223" i="11"/>
  <c r="Y261" i="8" l="1"/>
  <c r="Y256" i="8"/>
  <c r="Y250" i="8"/>
  <c r="Y245" i="8"/>
  <c r="Y240" i="8"/>
  <c r="Y235" i="8"/>
  <c r="Y231" i="8"/>
  <c r="Y224" i="8"/>
  <c r="Y217" i="8"/>
  <c r="Y210" i="8"/>
  <c r="Y203" i="8"/>
  <c r="Y196" i="8"/>
  <c r="Y189" i="8"/>
  <c r="Y182" i="8"/>
  <c r="Y175" i="8"/>
  <c r="Y168" i="8"/>
  <c r="Y161" i="8"/>
  <c r="Y154" i="8"/>
  <c r="Y147" i="8"/>
  <c r="Y140" i="8"/>
  <c r="Y133" i="8"/>
  <c r="Y126" i="8"/>
  <c r="Y119" i="8"/>
  <c r="Y112" i="8"/>
  <c r="Y171" i="1" l="1"/>
  <c r="C253" i="1" l="1"/>
  <c r="D253" i="1"/>
  <c r="E253" i="1"/>
  <c r="F253" i="1"/>
  <c r="X217" i="1"/>
  <c r="W217" i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C217" i="1"/>
  <c r="C39" i="3"/>
  <c r="W237" i="1" l="1"/>
  <c r="W236" i="1"/>
  <c r="W232" i="1"/>
  <c r="V232" i="1"/>
  <c r="U232" i="1"/>
  <c r="T232" i="1"/>
  <c r="S232" i="1"/>
  <c r="R232" i="1"/>
  <c r="Q232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C232" i="1"/>
  <c r="W231" i="1"/>
  <c r="V231" i="1"/>
  <c r="U231" i="1"/>
  <c r="T231" i="1"/>
  <c r="S231" i="1"/>
  <c r="R231" i="1"/>
  <c r="Q231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C231" i="1"/>
  <c r="V100" i="10"/>
  <c r="V99" i="10"/>
  <c r="G15" i="13" l="1"/>
  <c r="AG12" i="1"/>
  <c r="AG10" i="1"/>
  <c r="AD11" i="1"/>
  <c r="AD10" i="1"/>
  <c r="AD9" i="1"/>
  <c r="AD8" i="1"/>
  <c r="AD7" i="1"/>
  <c r="AD6" i="1"/>
  <c r="AD5" i="1"/>
  <c r="AD4" i="1"/>
  <c r="AD3" i="1"/>
  <c r="AC11" i="1"/>
  <c r="AC10" i="1"/>
  <c r="AC9" i="1"/>
  <c r="AC7" i="1"/>
  <c r="AC5" i="1"/>
  <c r="AC3" i="1"/>
  <c r="Z25" i="1"/>
  <c r="Z24" i="1"/>
  <c r="Z23" i="1"/>
  <c r="Z22" i="1"/>
  <c r="Z21" i="1"/>
  <c r="Z20" i="1"/>
  <c r="Z19" i="1"/>
  <c r="Z18" i="1"/>
  <c r="Z14" i="1"/>
  <c r="Z11" i="1"/>
  <c r="Z10" i="1"/>
  <c r="Z9" i="1"/>
  <c r="Z7" i="1"/>
  <c r="Z6" i="1"/>
  <c r="Z5" i="1"/>
  <c r="Z4" i="1"/>
  <c r="Z3" i="1"/>
  <c r="A12" i="13" l="1"/>
  <c r="A11" i="13"/>
  <c r="A10" i="13"/>
  <c r="A9" i="13"/>
  <c r="A8" i="13"/>
  <c r="A7" i="13"/>
  <c r="A6" i="13"/>
  <c r="A5" i="13"/>
  <c r="A4" i="13"/>
  <c r="A3" i="13"/>
  <c r="O108" i="10" l="1"/>
  <c r="N108" i="10"/>
  <c r="M108" i="10"/>
  <c r="L108" i="10"/>
  <c r="K108" i="10"/>
  <c r="J108" i="10"/>
  <c r="I108" i="10"/>
  <c r="H108" i="10"/>
  <c r="G108" i="10"/>
  <c r="F108" i="10"/>
  <c r="E108" i="10"/>
  <c r="D108" i="10"/>
  <c r="C108" i="10"/>
  <c r="B108" i="10"/>
  <c r="W256" i="1"/>
  <c r="X256" i="1" s="1"/>
  <c r="W108" i="10" s="1"/>
  <c r="V108" i="10" l="1"/>
  <c r="W219" i="1"/>
  <c r="V74" i="11"/>
  <c r="X224" i="1"/>
  <c r="X218" i="1"/>
  <c r="X219" i="1" s="1"/>
  <c r="X212" i="1"/>
  <c r="X207" i="1"/>
  <c r="X202" i="1"/>
  <c r="X197" i="1"/>
  <c r="X191" i="1"/>
  <c r="W138" i="11" s="1"/>
  <c r="X184" i="1"/>
  <c r="W134" i="11" s="1"/>
  <c r="X177" i="1"/>
  <c r="W130" i="11" s="1"/>
  <c r="X170" i="1"/>
  <c r="W126" i="11" s="1"/>
  <c r="X162" i="1"/>
  <c r="W122" i="11" s="1"/>
  <c r="X155" i="1"/>
  <c r="W118" i="11" s="1"/>
  <c r="X148" i="1"/>
  <c r="W114" i="11" s="1"/>
  <c r="X141" i="1"/>
  <c r="W110" i="11" s="1"/>
  <c r="X134" i="1"/>
  <c r="W106" i="11" s="1"/>
  <c r="X127" i="1"/>
  <c r="W102" i="11" s="1"/>
  <c r="X120" i="1"/>
  <c r="W98" i="11" s="1"/>
  <c r="X113" i="1"/>
  <c r="W94" i="11" s="1"/>
  <c r="X105" i="1"/>
  <c r="W90" i="11" s="1"/>
  <c r="X98" i="1"/>
  <c r="W86" i="11" s="1"/>
  <c r="X91" i="1"/>
  <c r="W82" i="11" s="1"/>
  <c r="X83" i="1"/>
  <c r="W78" i="11" s="1"/>
  <c r="X76" i="1"/>
  <c r="X69" i="1"/>
  <c r="W70" i="11" s="1"/>
  <c r="W74" i="11" l="1"/>
  <c r="B69" i="11"/>
  <c r="C69" i="11"/>
  <c r="D69" i="11"/>
  <c r="E69" i="11"/>
  <c r="F69" i="11"/>
  <c r="G69" i="11"/>
  <c r="H69" i="11"/>
  <c r="I69" i="11"/>
  <c r="J69" i="11"/>
  <c r="K69" i="11"/>
  <c r="L69" i="11"/>
  <c r="M69" i="11"/>
  <c r="N69" i="11"/>
  <c r="O69" i="11"/>
  <c r="P69" i="11"/>
  <c r="Q69" i="11"/>
  <c r="R69" i="11"/>
  <c r="S69" i="11"/>
  <c r="T69" i="11"/>
  <c r="U69" i="11"/>
  <c r="B70" i="11"/>
  <c r="C70" i="11"/>
  <c r="D70" i="11"/>
  <c r="E70" i="11"/>
  <c r="F70" i="11"/>
  <c r="G70" i="11"/>
  <c r="H70" i="11"/>
  <c r="I70" i="11"/>
  <c r="J70" i="11"/>
  <c r="K70" i="11"/>
  <c r="L70" i="11"/>
  <c r="M70" i="11"/>
  <c r="N70" i="11"/>
  <c r="O70" i="11"/>
  <c r="P70" i="11"/>
  <c r="Q70" i="11"/>
  <c r="R70" i="11"/>
  <c r="S70" i="11"/>
  <c r="T70" i="11"/>
  <c r="U70" i="11"/>
  <c r="B73" i="11"/>
  <c r="C73" i="11"/>
  <c r="D73" i="11"/>
  <c r="E73" i="11"/>
  <c r="F73" i="11"/>
  <c r="G73" i="11"/>
  <c r="H73" i="11"/>
  <c r="I73" i="11"/>
  <c r="J73" i="11"/>
  <c r="K73" i="11"/>
  <c r="L73" i="11"/>
  <c r="M73" i="11"/>
  <c r="N73" i="11"/>
  <c r="O73" i="11"/>
  <c r="P73" i="11"/>
  <c r="Q73" i="11"/>
  <c r="R73" i="11"/>
  <c r="S73" i="11"/>
  <c r="T73" i="11"/>
  <c r="U73" i="11"/>
  <c r="B74" i="11"/>
  <c r="C74" i="11"/>
  <c r="D74" i="11"/>
  <c r="E74" i="11"/>
  <c r="F74" i="11"/>
  <c r="G74" i="11"/>
  <c r="H74" i="11"/>
  <c r="I74" i="11"/>
  <c r="J74" i="11"/>
  <c r="K74" i="11"/>
  <c r="L74" i="11"/>
  <c r="M74" i="11"/>
  <c r="N74" i="11"/>
  <c r="O74" i="11"/>
  <c r="P74" i="11"/>
  <c r="Q74" i="11"/>
  <c r="R74" i="11"/>
  <c r="S74" i="11"/>
  <c r="T74" i="11"/>
  <c r="U74" i="11"/>
  <c r="B77" i="11"/>
  <c r="C77" i="11"/>
  <c r="D77" i="11"/>
  <c r="E77" i="11"/>
  <c r="F77" i="11"/>
  <c r="G77" i="11"/>
  <c r="H77" i="11"/>
  <c r="I77" i="11"/>
  <c r="J77" i="11"/>
  <c r="K77" i="11"/>
  <c r="L77" i="11"/>
  <c r="M77" i="11"/>
  <c r="N77" i="11"/>
  <c r="O77" i="11"/>
  <c r="P77" i="11"/>
  <c r="Q77" i="11"/>
  <c r="R77" i="11"/>
  <c r="S77" i="11"/>
  <c r="T77" i="11"/>
  <c r="U77" i="11"/>
  <c r="B78" i="11"/>
  <c r="C78" i="11"/>
  <c r="D78" i="11"/>
  <c r="E78" i="11"/>
  <c r="F78" i="11"/>
  <c r="G78" i="11"/>
  <c r="H78" i="11"/>
  <c r="I78" i="11"/>
  <c r="J78" i="11"/>
  <c r="K78" i="11"/>
  <c r="L78" i="11"/>
  <c r="M78" i="11"/>
  <c r="N78" i="11"/>
  <c r="O78" i="11"/>
  <c r="P78" i="11"/>
  <c r="Q78" i="11"/>
  <c r="R78" i="11"/>
  <c r="S78" i="11"/>
  <c r="T78" i="11"/>
  <c r="U78" i="11"/>
  <c r="B81" i="11"/>
  <c r="C81" i="11"/>
  <c r="D81" i="11"/>
  <c r="E81" i="11"/>
  <c r="F81" i="11"/>
  <c r="G81" i="11"/>
  <c r="H81" i="11"/>
  <c r="I81" i="11"/>
  <c r="J81" i="11"/>
  <c r="K81" i="11"/>
  <c r="L81" i="11"/>
  <c r="M81" i="11"/>
  <c r="N81" i="11"/>
  <c r="O81" i="11"/>
  <c r="P81" i="11"/>
  <c r="Q81" i="11"/>
  <c r="R81" i="11"/>
  <c r="S81" i="11"/>
  <c r="T81" i="11"/>
  <c r="U81" i="11"/>
  <c r="B82" i="11"/>
  <c r="C82" i="11"/>
  <c r="D82" i="11"/>
  <c r="E82" i="11"/>
  <c r="F82" i="11"/>
  <c r="G82" i="11"/>
  <c r="H82" i="11"/>
  <c r="I82" i="11"/>
  <c r="J82" i="11"/>
  <c r="K82" i="11"/>
  <c r="L82" i="11"/>
  <c r="M82" i="11"/>
  <c r="N82" i="11"/>
  <c r="O82" i="11"/>
  <c r="P82" i="11"/>
  <c r="Q82" i="11"/>
  <c r="R82" i="11"/>
  <c r="S82" i="11"/>
  <c r="T82" i="11"/>
  <c r="U82" i="11"/>
  <c r="U138" i="11"/>
  <c r="U137" i="11"/>
  <c r="T138" i="11"/>
  <c r="T137" i="11"/>
  <c r="S138" i="11"/>
  <c r="S137" i="11"/>
  <c r="R138" i="11"/>
  <c r="R137" i="11"/>
  <c r="Q138" i="11"/>
  <c r="Q137" i="11"/>
  <c r="P138" i="11"/>
  <c r="P137" i="11"/>
  <c r="O138" i="11"/>
  <c r="O137" i="11"/>
  <c r="N138" i="11"/>
  <c r="N137" i="11"/>
  <c r="M138" i="11"/>
  <c r="M137" i="11"/>
  <c r="L138" i="11"/>
  <c r="L137" i="11"/>
  <c r="K138" i="11"/>
  <c r="K137" i="11"/>
  <c r="J138" i="11"/>
  <c r="J137" i="11"/>
  <c r="I138" i="11"/>
  <c r="I137" i="11"/>
  <c r="H138" i="11"/>
  <c r="H137" i="11"/>
  <c r="G138" i="11"/>
  <c r="G137" i="11"/>
  <c r="F138" i="11"/>
  <c r="F137" i="11"/>
  <c r="E138" i="11"/>
  <c r="E137" i="11"/>
  <c r="D138" i="11"/>
  <c r="D137" i="11"/>
  <c r="C138" i="11"/>
  <c r="C137" i="11"/>
  <c r="B138" i="11"/>
  <c r="B137" i="11"/>
  <c r="U134" i="11"/>
  <c r="U133" i="11"/>
  <c r="T134" i="11"/>
  <c r="T133" i="11"/>
  <c r="S134" i="11"/>
  <c r="S133" i="11"/>
  <c r="R134" i="11"/>
  <c r="R133" i="11"/>
  <c r="Q134" i="11"/>
  <c r="Q133" i="11"/>
  <c r="P134" i="11"/>
  <c r="P133" i="11"/>
  <c r="O134" i="11"/>
  <c r="O133" i="11"/>
  <c r="N134" i="11"/>
  <c r="N133" i="11"/>
  <c r="M134" i="11"/>
  <c r="M133" i="11"/>
  <c r="L134" i="11"/>
  <c r="L133" i="11"/>
  <c r="K134" i="11"/>
  <c r="K133" i="11"/>
  <c r="J134" i="11"/>
  <c r="J133" i="11"/>
  <c r="I134" i="11"/>
  <c r="I133" i="11"/>
  <c r="H134" i="11"/>
  <c r="H133" i="11"/>
  <c r="G134" i="11"/>
  <c r="G133" i="11"/>
  <c r="F134" i="11"/>
  <c r="F133" i="11"/>
  <c r="E134" i="11"/>
  <c r="E133" i="11"/>
  <c r="D134" i="11"/>
  <c r="D133" i="11"/>
  <c r="C134" i="11"/>
  <c r="C133" i="11"/>
  <c r="B134" i="11"/>
  <c r="B133" i="11"/>
  <c r="U130" i="11"/>
  <c r="U129" i="11"/>
  <c r="T130" i="11"/>
  <c r="T129" i="11"/>
  <c r="S130" i="11"/>
  <c r="S129" i="11"/>
  <c r="R130" i="11"/>
  <c r="R129" i="11"/>
  <c r="Q130" i="11"/>
  <c r="Q129" i="11"/>
  <c r="P130" i="11"/>
  <c r="P129" i="11"/>
  <c r="O130" i="11"/>
  <c r="O129" i="11"/>
  <c r="N130" i="11"/>
  <c r="N129" i="11"/>
  <c r="M130" i="11"/>
  <c r="M129" i="11"/>
  <c r="L130" i="11"/>
  <c r="L129" i="11"/>
  <c r="K130" i="11"/>
  <c r="K129" i="11"/>
  <c r="J130" i="11"/>
  <c r="J129" i="11"/>
  <c r="I130" i="11"/>
  <c r="I129" i="11"/>
  <c r="H130" i="11"/>
  <c r="H129" i="11"/>
  <c r="G130" i="11"/>
  <c r="G129" i="11"/>
  <c r="F130" i="11"/>
  <c r="F129" i="11"/>
  <c r="E130" i="11"/>
  <c r="E129" i="11"/>
  <c r="D130" i="11"/>
  <c r="D129" i="11"/>
  <c r="C130" i="11"/>
  <c r="C129" i="11"/>
  <c r="B130" i="11"/>
  <c r="B129" i="11"/>
  <c r="U122" i="11"/>
  <c r="U121" i="11"/>
  <c r="T122" i="11"/>
  <c r="T121" i="11"/>
  <c r="S122" i="11"/>
  <c r="S121" i="11"/>
  <c r="R122" i="11"/>
  <c r="R121" i="11"/>
  <c r="Q122" i="11"/>
  <c r="Q121" i="11"/>
  <c r="P122" i="11"/>
  <c r="P121" i="11"/>
  <c r="O122" i="11"/>
  <c r="O121" i="11"/>
  <c r="N122" i="11"/>
  <c r="N121" i="11"/>
  <c r="M122" i="11"/>
  <c r="M121" i="11"/>
  <c r="L122" i="11"/>
  <c r="L121" i="11"/>
  <c r="K122" i="11"/>
  <c r="K121" i="11"/>
  <c r="J122" i="11"/>
  <c r="J121" i="11"/>
  <c r="I122" i="11"/>
  <c r="I121" i="11"/>
  <c r="H122" i="11"/>
  <c r="H121" i="11"/>
  <c r="G122" i="11"/>
  <c r="G121" i="11"/>
  <c r="F122" i="11"/>
  <c r="F121" i="11"/>
  <c r="E122" i="11"/>
  <c r="E121" i="11"/>
  <c r="D122" i="11"/>
  <c r="D121" i="11"/>
  <c r="C122" i="11"/>
  <c r="C121" i="11"/>
  <c r="B122" i="11"/>
  <c r="B121" i="11"/>
  <c r="R75" i="11" l="1"/>
  <c r="J75" i="11"/>
  <c r="J76" i="11" s="1"/>
  <c r="U75" i="11"/>
  <c r="M75" i="11"/>
  <c r="M76" i="11" s="1"/>
  <c r="E75" i="11"/>
  <c r="E76" i="11" s="1"/>
  <c r="B75" i="11"/>
  <c r="B76" i="11" s="1"/>
  <c r="S71" i="11"/>
  <c r="S75" i="11"/>
  <c r="K71" i="11"/>
  <c r="K72" i="11" s="1"/>
  <c r="C71" i="11"/>
  <c r="C72" i="11" s="1"/>
  <c r="G79" i="11"/>
  <c r="G80" i="11" s="1"/>
  <c r="U71" i="11"/>
  <c r="M71" i="11"/>
  <c r="M72" i="11" s="1"/>
  <c r="E71" i="11"/>
  <c r="E72" i="11" s="1"/>
  <c r="K75" i="11"/>
  <c r="K76" i="11" s="1"/>
  <c r="C75" i="11"/>
  <c r="C76" i="11" s="1"/>
  <c r="T71" i="11"/>
  <c r="L71" i="11"/>
  <c r="L72" i="11" s="1"/>
  <c r="D71" i="11"/>
  <c r="D72" i="11" s="1"/>
  <c r="Q75" i="11"/>
  <c r="I75" i="11"/>
  <c r="I76" i="11" s="1"/>
  <c r="N75" i="11"/>
  <c r="N76" i="11" s="1"/>
  <c r="F75" i="11"/>
  <c r="F76" i="11" s="1"/>
  <c r="O79" i="11"/>
  <c r="O80" i="11" s="1"/>
  <c r="P75" i="11"/>
  <c r="H75" i="11"/>
  <c r="H76" i="11" s="1"/>
  <c r="T75" i="11"/>
  <c r="L75" i="11"/>
  <c r="L76" i="11" s="1"/>
  <c r="D75" i="11"/>
  <c r="D76" i="11" s="1"/>
  <c r="H79" i="11"/>
  <c r="H80" i="11" s="1"/>
  <c r="Q71" i="11"/>
  <c r="I71" i="11"/>
  <c r="I72" i="11" s="1"/>
  <c r="R79" i="11"/>
  <c r="J79" i="11"/>
  <c r="J80" i="11" s="1"/>
  <c r="B79" i="11"/>
  <c r="B80" i="11" s="1"/>
  <c r="K79" i="11"/>
  <c r="K80" i="11" s="1"/>
  <c r="G75" i="11"/>
  <c r="G76" i="11" s="1"/>
  <c r="Q79" i="11"/>
  <c r="I79" i="11"/>
  <c r="I80" i="11" s="1"/>
  <c r="N79" i="11"/>
  <c r="N80" i="11" s="1"/>
  <c r="F79" i="11"/>
  <c r="F80" i="11" s="1"/>
  <c r="S79" i="11"/>
  <c r="C79" i="11"/>
  <c r="C80" i="11" s="1"/>
  <c r="O75" i="11"/>
  <c r="O76" i="11" s="1"/>
  <c r="P79" i="11"/>
  <c r="E79" i="11"/>
  <c r="E80" i="11" s="1"/>
  <c r="N71" i="11"/>
  <c r="N72" i="11" s="1"/>
  <c r="F71" i="11"/>
  <c r="F72" i="11" s="1"/>
  <c r="U79" i="11"/>
  <c r="M79" i="11"/>
  <c r="M80" i="11" s="1"/>
  <c r="P71" i="11"/>
  <c r="H71" i="11"/>
  <c r="H72" i="11" s="1"/>
  <c r="T79" i="11"/>
  <c r="L79" i="11"/>
  <c r="L80" i="11" s="1"/>
  <c r="D79" i="11"/>
  <c r="D80" i="11" s="1"/>
  <c r="O71" i="11"/>
  <c r="O72" i="11" s="1"/>
  <c r="G71" i="11"/>
  <c r="G72" i="11" s="1"/>
  <c r="R71" i="11"/>
  <c r="J71" i="11"/>
  <c r="J72" i="11" s="1"/>
  <c r="B71" i="11"/>
  <c r="B72" i="11" s="1"/>
  <c r="U118" i="11"/>
  <c r="U117" i="11"/>
  <c r="T118" i="11"/>
  <c r="T117" i="11"/>
  <c r="S118" i="11"/>
  <c r="S117" i="11"/>
  <c r="R118" i="11"/>
  <c r="R117" i="11"/>
  <c r="Q118" i="11"/>
  <c r="Q117" i="11"/>
  <c r="P118" i="11"/>
  <c r="P117" i="11"/>
  <c r="O118" i="11"/>
  <c r="O117" i="11"/>
  <c r="N118" i="11"/>
  <c r="N117" i="11"/>
  <c r="M118" i="11"/>
  <c r="M117" i="11"/>
  <c r="L118" i="11"/>
  <c r="L117" i="11"/>
  <c r="K118" i="11"/>
  <c r="K117" i="11"/>
  <c r="J118" i="11"/>
  <c r="J117" i="11"/>
  <c r="I118" i="11"/>
  <c r="I117" i="11"/>
  <c r="H118" i="11"/>
  <c r="H117" i="11"/>
  <c r="G118" i="11"/>
  <c r="G117" i="11"/>
  <c r="F118" i="11"/>
  <c r="F117" i="11"/>
  <c r="E118" i="11"/>
  <c r="E117" i="11"/>
  <c r="D118" i="11"/>
  <c r="D117" i="11"/>
  <c r="C118" i="11"/>
  <c r="C117" i="11"/>
  <c r="B118" i="11"/>
  <c r="B117" i="11"/>
  <c r="U114" i="11"/>
  <c r="U113" i="11"/>
  <c r="T114" i="11"/>
  <c r="T113" i="11"/>
  <c r="S114" i="11"/>
  <c r="S113" i="11"/>
  <c r="R114" i="11"/>
  <c r="R113" i="11"/>
  <c r="Q114" i="11"/>
  <c r="Q113" i="11"/>
  <c r="P114" i="11"/>
  <c r="P113" i="11"/>
  <c r="O114" i="11"/>
  <c r="O113" i="11"/>
  <c r="N114" i="11"/>
  <c r="N113" i="11"/>
  <c r="M114" i="11"/>
  <c r="M113" i="11"/>
  <c r="L114" i="11"/>
  <c r="L113" i="11"/>
  <c r="K114" i="11"/>
  <c r="K113" i="11"/>
  <c r="J114" i="11"/>
  <c r="J113" i="11"/>
  <c r="I114" i="11"/>
  <c r="I113" i="11"/>
  <c r="H114" i="11"/>
  <c r="H113" i="11"/>
  <c r="G114" i="11"/>
  <c r="G113" i="11"/>
  <c r="F114" i="11"/>
  <c r="F113" i="11"/>
  <c r="E114" i="11"/>
  <c r="E113" i="11"/>
  <c r="D114" i="11"/>
  <c r="D113" i="11"/>
  <c r="C114" i="11"/>
  <c r="C113" i="11"/>
  <c r="B114" i="11"/>
  <c r="B113" i="11"/>
  <c r="U110" i="11"/>
  <c r="U109" i="11"/>
  <c r="T110" i="11"/>
  <c r="T109" i="11"/>
  <c r="S110" i="11"/>
  <c r="S109" i="11"/>
  <c r="R110" i="11"/>
  <c r="R109" i="11"/>
  <c r="Q110" i="11"/>
  <c r="Q109" i="11"/>
  <c r="P110" i="11"/>
  <c r="P109" i="11"/>
  <c r="O110" i="11"/>
  <c r="O109" i="11"/>
  <c r="N110" i="11"/>
  <c r="N109" i="11"/>
  <c r="M110" i="11"/>
  <c r="M109" i="11"/>
  <c r="L110" i="11"/>
  <c r="L109" i="11"/>
  <c r="K110" i="11"/>
  <c r="K109" i="11"/>
  <c r="J110" i="11"/>
  <c r="J109" i="11"/>
  <c r="I110" i="11"/>
  <c r="I109" i="11"/>
  <c r="H110" i="11"/>
  <c r="H109" i="11"/>
  <c r="G110" i="11"/>
  <c r="G109" i="11"/>
  <c r="F110" i="11"/>
  <c r="F109" i="11"/>
  <c r="E110" i="11"/>
  <c r="E109" i="11"/>
  <c r="D110" i="11"/>
  <c r="D109" i="11"/>
  <c r="C110" i="11"/>
  <c r="C109" i="11"/>
  <c r="B110" i="11"/>
  <c r="B109" i="11"/>
  <c r="U106" i="11"/>
  <c r="U105" i="11"/>
  <c r="T106" i="11"/>
  <c r="T105" i="11"/>
  <c r="S106" i="11"/>
  <c r="S105" i="11"/>
  <c r="R106" i="11"/>
  <c r="R105" i="11"/>
  <c r="Q106" i="11"/>
  <c r="Q105" i="11"/>
  <c r="P106" i="11"/>
  <c r="P105" i="11"/>
  <c r="O106" i="11"/>
  <c r="O105" i="11"/>
  <c r="N106" i="11"/>
  <c r="N105" i="11"/>
  <c r="M106" i="11"/>
  <c r="M105" i="11"/>
  <c r="L106" i="11"/>
  <c r="L105" i="11"/>
  <c r="K106" i="11"/>
  <c r="K105" i="11"/>
  <c r="J106" i="11"/>
  <c r="J105" i="11"/>
  <c r="I106" i="11"/>
  <c r="I105" i="11"/>
  <c r="H106" i="11"/>
  <c r="H105" i="11"/>
  <c r="G106" i="11"/>
  <c r="G105" i="11"/>
  <c r="F106" i="11"/>
  <c r="F105" i="11"/>
  <c r="E106" i="11"/>
  <c r="E105" i="11"/>
  <c r="D106" i="11"/>
  <c r="D105" i="11"/>
  <c r="C106" i="11"/>
  <c r="C105" i="11"/>
  <c r="B106" i="11"/>
  <c r="B105" i="11"/>
  <c r="U102" i="11"/>
  <c r="U101" i="11"/>
  <c r="T102" i="11"/>
  <c r="T101" i="11"/>
  <c r="S102" i="11"/>
  <c r="S101" i="11"/>
  <c r="R102" i="11"/>
  <c r="R101" i="11"/>
  <c r="Q102" i="11"/>
  <c r="Q101" i="11"/>
  <c r="P102" i="11"/>
  <c r="P101" i="11"/>
  <c r="O102" i="11"/>
  <c r="O101" i="11"/>
  <c r="N102" i="11"/>
  <c r="N101" i="11"/>
  <c r="M102" i="11"/>
  <c r="M101" i="11"/>
  <c r="L102" i="11"/>
  <c r="L101" i="11"/>
  <c r="K102" i="11"/>
  <c r="K101" i="11"/>
  <c r="J102" i="11"/>
  <c r="J101" i="11"/>
  <c r="I102" i="11"/>
  <c r="I101" i="11"/>
  <c r="H102" i="11"/>
  <c r="H101" i="11"/>
  <c r="G102" i="11"/>
  <c r="G101" i="11"/>
  <c r="F102" i="11"/>
  <c r="F101" i="11"/>
  <c r="E102" i="11"/>
  <c r="E101" i="11"/>
  <c r="D102" i="11"/>
  <c r="D101" i="11"/>
  <c r="C102" i="11"/>
  <c r="C101" i="11"/>
  <c r="B102" i="11"/>
  <c r="B101" i="11"/>
  <c r="U98" i="11"/>
  <c r="U97" i="11"/>
  <c r="T98" i="11"/>
  <c r="T97" i="11"/>
  <c r="S98" i="11"/>
  <c r="S97" i="11"/>
  <c r="R98" i="11"/>
  <c r="R97" i="11"/>
  <c r="Q98" i="11"/>
  <c r="Q97" i="11"/>
  <c r="P98" i="11"/>
  <c r="P97" i="11"/>
  <c r="O98" i="11"/>
  <c r="O97" i="11"/>
  <c r="N98" i="11"/>
  <c r="N97" i="11"/>
  <c r="M98" i="11"/>
  <c r="M97" i="11"/>
  <c r="L98" i="11"/>
  <c r="L97" i="11"/>
  <c r="K98" i="11"/>
  <c r="K97" i="11"/>
  <c r="J98" i="11"/>
  <c r="J97" i="11"/>
  <c r="I98" i="11"/>
  <c r="I97" i="11"/>
  <c r="H98" i="11"/>
  <c r="H97" i="11"/>
  <c r="G98" i="11"/>
  <c r="G97" i="11"/>
  <c r="F98" i="11"/>
  <c r="F97" i="11"/>
  <c r="E98" i="11"/>
  <c r="E97" i="11"/>
  <c r="D98" i="11"/>
  <c r="D97" i="11"/>
  <c r="C98" i="11"/>
  <c r="C97" i="11"/>
  <c r="B98" i="11"/>
  <c r="B97" i="11"/>
  <c r="U94" i="11"/>
  <c r="U93" i="11"/>
  <c r="T94" i="11"/>
  <c r="T93" i="11"/>
  <c r="S94" i="11"/>
  <c r="S93" i="11"/>
  <c r="R94" i="11"/>
  <c r="R93" i="11"/>
  <c r="Q94" i="11"/>
  <c r="Q93" i="11"/>
  <c r="P94" i="11"/>
  <c r="P93" i="11"/>
  <c r="O94" i="11"/>
  <c r="O93" i="11"/>
  <c r="N94" i="11"/>
  <c r="N93" i="11"/>
  <c r="M94" i="11"/>
  <c r="M93" i="11"/>
  <c r="L94" i="11"/>
  <c r="L93" i="11"/>
  <c r="K94" i="11"/>
  <c r="K93" i="11"/>
  <c r="J94" i="11"/>
  <c r="J93" i="11"/>
  <c r="I94" i="11"/>
  <c r="I93" i="11"/>
  <c r="H94" i="11"/>
  <c r="H93" i="11"/>
  <c r="G94" i="11"/>
  <c r="G93" i="11"/>
  <c r="F94" i="11"/>
  <c r="F93" i="11"/>
  <c r="E94" i="11"/>
  <c r="E93" i="11"/>
  <c r="D94" i="11"/>
  <c r="D93" i="11"/>
  <c r="C94" i="11"/>
  <c r="C93" i="11"/>
  <c r="B94" i="11"/>
  <c r="B93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D126" i="11"/>
  <c r="C126" i="11"/>
  <c r="B126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D125" i="11"/>
  <c r="C125" i="11"/>
  <c r="B125" i="11"/>
  <c r="U90" i="11"/>
  <c r="U89" i="11"/>
  <c r="T90" i="11"/>
  <c r="T89" i="11"/>
  <c r="S90" i="11"/>
  <c r="S89" i="11"/>
  <c r="R90" i="11"/>
  <c r="R89" i="11"/>
  <c r="Q90" i="11"/>
  <c r="Q89" i="11"/>
  <c r="P90" i="11"/>
  <c r="P89" i="11"/>
  <c r="O90" i="11"/>
  <c r="O89" i="11"/>
  <c r="N90" i="11"/>
  <c r="N89" i="11"/>
  <c r="M90" i="11"/>
  <c r="M89" i="11"/>
  <c r="L90" i="11"/>
  <c r="L89" i="11"/>
  <c r="K90" i="11"/>
  <c r="K89" i="11"/>
  <c r="J90" i="11"/>
  <c r="J89" i="11"/>
  <c r="I90" i="11"/>
  <c r="I89" i="11"/>
  <c r="H90" i="11"/>
  <c r="H89" i="11"/>
  <c r="G90" i="11"/>
  <c r="G89" i="11"/>
  <c r="F90" i="11"/>
  <c r="F89" i="11"/>
  <c r="E90" i="11"/>
  <c r="E89" i="11"/>
  <c r="D90" i="11"/>
  <c r="D89" i="11"/>
  <c r="C90" i="11"/>
  <c r="C89" i="11"/>
  <c r="B90" i="11"/>
  <c r="B89" i="11"/>
  <c r="U86" i="11"/>
  <c r="U85" i="11"/>
  <c r="T86" i="11"/>
  <c r="T85" i="11"/>
  <c r="S86" i="11"/>
  <c r="S85" i="11"/>
  <c r="R86" i="11"/>
  <c r="R85" i="11"/>
  <c r="Q86" i="11"/>
  <c r="Q85" i="11"/>
  <c r="P86" i="11"/>
  <c r="P85" i="11"/>
  <c r="O86" i="11"/>
  <c r="O85" i="11"/>
  <c r="N86" i="11"/>
  <c r="N85" i="11"/>
  <c r="M86" i="11"/>
  <c r="M85" i="11"/>
  <c r="L86" i="11"/>
  <c r="L85" i="11"/>
  <c r="K86" i="11"/>
  <c r="K85" i="11"/>
  <c r="J86" i="11"/>
  <c r="J85" i="11"/>
  <c r="I86" i="11"/>
  <c r="I85" i="11"/>
  <c r="H86" i="11"/>
  <c r="H85" i="11"/>
  <c r="G86" i="11"/>
  <c r="G85" i="11"/>
  <c r="F86" i="11"/>
  <c r="F85" i="11"/>
  <c r="E86" i="11"/>
  <c r="E85" i="11"/>
  <c r="D86" i="11"/>
  <c r="D85" i="11"/>
  <c r="C86" i="11"/>
  <c r="C85" i="11"/>
  <c r="B86" i="11"/>
  <c r="B85" i="11"/>
  <c r="C99" i="11" l="1"/>
  <c r="K99" i="11"/>
  <c r="O99" i="11"/>
  <c r="S99" i="11"/>
  <c r="F115" i="11"/>
  <c r="F116" i="11" s="1"/>
  <c r="C111" i="11"/>
  <c r="C112" i="11" s="1"/>
  <c r="D111" i="11"/>
  <c r="D112" i="11" s="1"/>
  <c r="P111" i="11"/>
  <c r="U107" i="11"/>
  <c r="F103" i="11"/>
  <c r="R103" i="11"/>
  <c r="M99" i="11"/>
  <c r="D103" i="11"/>
  <c r="H103" i="11"/>
  <c r="C107" i="11"/>
  <c r="C108" i="11" s="1"/>
  <c r="E111" i="11"/>
  <c r="E112" i="11" s="1"/>
  <c r="M111" i="11"/>
  <c r="M112" i="11" s="1"/>
  <c r="T115" i="11"/>
  <c r="S131" i="11"/>
  <c r="Q103" i="11"/>
  <c r="L107" i="11"/>
  <c r="L108" i="11" s="1"/>
  <c r="P107" i="11"/>
  <c r="T107" i="11"/>
  <c r="K131" i="11"/>
  <c r="K132" i="11" s="1"/>
  <c r="C131" i="11"/>
  <c r="C132" i="11" s="1"/>
  <c r="R119" i="11"/>
  <c r="D99" i="11"/>
  <c r="H99" i="11"/>
  <c r="N111" i="11"/>
  <c r="N112" i="11" s="1"/>
  <c r="F111" i="11"/>
  <c r="F112" i="11" s="1"/>
  <c r="G95" i="11"/>
  <c r="H195" i="11" s="1"/>
  <c r="N99" i="11"/>
  <c r="U103" i="11"/>
  <c r="J111" i="11"/>
  <c r="J112" i="11" s="1"/>
  <c r="G127" i="11"/>
  <c r="K139" i="11"/>
  <c r="K140" i="11" s="1"/>
  <c r="G99" i="11"/>
  <c r="K119" i="11"/>
  <c r="K120" i="11" s="1"/>
  <c r="S139" i="11"/>
  <c r="E127" i="11"/>
  <c r="B135" i="11"/>
  <c r="B136" i="11" s="1"/>
  <c r="J135" i="11"/>
  <c r="J136" i="11" s="1"/>
  <c r="R135" i="11"/>
  <c r="C139" i="11"/>
  <c r="C140" i="11" s="1"/>
  <c r="I123" i="11"/>
  <c r="I124" i="11" s="1"/>
  <c r="Q123" i="11"/>
  <c r="U115" i="11"/>
  <c r="D119" i="11"/>
  <c r="D120" i="11" s="1"/>
  <c r="H119" i="11"/>
  <c r="H120" i="11" s="1"/>
  <c r="P119" i="11"/>
  <c r="K103" i="11"/>
  <c r="B107" i="11"/>
  <c r="B108" i="11" s="1"/>
  <c r="G115" i="11"/>
  <c r="G116" i="11" s="1"/>
  <c r="K115" i="11"/>
  <c r="K116" i="11" s="1"/>
  <c r="O115" i="11"/>
  <c r="O116" i="11" s="1"/>
  <c r="S115" i="11"/>
  <c r="E119" i="11"/>
  <c r="E120" i="11" s="1"/>
  <c r="O127" i="11"/>
  <c r="F107" i="11"/>
  <c r="F108" i="11" s="1"/>
  <c r="F119" i="11"/>
  <c r="F120" i="11" s="1"/>
  <c r="J119" i="11"/>
  <c r="J120" i="11" s="1"/>
  <c r="N119" i="11"/>
  <c r="N120" i="11" s="1"/>
  <c r="M127" i="11"/>
  <c r="U127" i="11"/>
  <c r="I135" i="11"/>
  <c r="I136" i="11" s="1"/>
  <c r="Q135" i="11"/>
  <c r="F139" i="11"/>
  <c r="F140" i="11" s="1"/>
  <c r="E103" i="11"/>
  <c r="P103" i="11"/>
  <c r="I107" i="11"/>
  <c r="I108" i="11" s="1"/>
  <c r="M107" i="11"/>
  <c r="M108" i="11" s="1"/>
  <c r="Q107" i="11"/>
  <c r="K111" i="11"/>
  <c r="K112" i="11" s="1"/>
  <c r="I115" i="11"/>
  <c r="I116" i="11" s="1"/>
  <c r="I103" i="11"/>
  <c r="P99" i="11"/>
  <c r="M103" i="11"/>
  <c r="N115" i="11"/>
  <c r="N116" i="11" s="1"/>
  <c r="U95" i="11"/>
  <c r="G123" i="11"/>
  <c r="G124" i="11" s="1"/>
  <c r="O123" i="11"/>
  <c r="O124" i="11" s="1"/>
  <c r="C123" i="11"/>
  <c r="C124" i="11" s="1"/>
  <c r="K123" i="11"/>
  <c r="K124" i="11" s="1"/>
  <c r="S123" i="11"/>
  <c r="F131" i="11"/>
  <c r="F132" i="11" s="1"/>
  <c r="N131" i="11"/>
  <c r="N132" i="11" s="1"/>
  <c r="G139" i="11"/>
  <c r="G140" i="11" s="1"/>
  <c r="O139" i="11"/>
  <c r="O140" i="11" s="1"/>
  <c r="I119" i="11"/>
  <c r="I120" i="11" s="1"/>
  <c r="E99" i="11"/>
  <c r="I99" i="11"/>
  <c r="G103" i="11"/>
  <c r="N103" i="11"/>
  <c r="G107" i="11"/>
  <c r="G108" i="11" s="1"/>
  <c r="O107" i="11"/>
  <c r="O108" i="11" s="1"/>
  <c r="F123" i="11"/>
  <c r="F124" i="11" s="1"/>
  <c r="O135" i="11"/>
  <c r="O136" i="11" s="1"/>
  <c r="F99" i="11"/>
  <c r="J99" i="11"/>
  <c r="O103" i="11"/>
  <c r="H115" i="11"/>
  <c r="H116" i="11" s="1"/>
  <c r="L115" i="11"/>
  <c r="L116" i="11" s="1"/>
  <c r="M95" i="11"/>
  <c r="N195" i="11" s="1"/>
  <c r="N123" i="11"/>
  <c r="N124" i="11" s="1"/>
  <c r="B123" i="11"/>
  <c r="B124" i="11" s="1"/>
  <c r="J123" i="11"/>
  <c r="J124" i="11" s="1"/>
  <c r="R123" i="11"/>
  <c r="B131" i="11"/>
  <c r="B132" i="11" s="1"/>
  <c r="J131" i="11"/>
  <c r="J132" i="11" s="1"/>
  <c r="R131" i="11"/>
  <c r="E131" i="11"/>
  <c r="E132" i="11" s="1"/>
  <c r="M131" i="11"/>
  <c r="M132" i="11" s="1"/>
  <c r="U131" i="11"/>
  <c r="C135" i="11"/>
  <c r="C136" i="11" s="1"/>
  <c r="H107" i="11"/>
  <c r="H108" i="11" s="1"/>
  <c r="G111" i="11"/>
  <c r="G112" i="11" s="1"/>
  <c r="Q111" i="11"/>
  <c r="U111" i="11"/>
  <c r="J115" i="11"/>
  <c r="J116" i="11" s="1"/>
  <c r="Q115" i="11"/>
  <c r="L119" i="11"/>
  <c r="L120" i="11" s="1"/>
  <c r="S119" i="11"/>
  <c r="H123" i="11"/>
  <c r="H124" i="11" s="1"/>
  <c r="P123" i="11"/>
  <c r="I139" i="11"/>
  <c r="I140" i="11" s="1"/>
  <c r="Q139" i="11"/>
  <c r="T99" i="11"/>
  <c r="S103" i="11"/>
  <c r="E107" i="11"/>
  <c r="E108" i="11" s="1"/>
  <c r="R107" i="11"/>
  <c r="H111" i="11"/>
  <c r="H112" i="11" s="1"/>
  <c r="R111" i="11"/>
  <c r="E115" i="11"/>
  <c r="E116" i="11" s="1"/>
  <c r="R115" i="11"/>
  <c r="T119" i="11"/>
  <c r="N139" i="11"/>
  <c r="N140" i="11" s="1"/>
  <c r="B127" i="11"/>
  <c r="J127" i="11"/>
  <c r="R127" i="11"/>
  <c r="M119" i="11"/>
  <c r="M120" i="11" s="1"/>
  <c r="Q119" i="11"/>
  <c r="C127" i="11"/>
  <c r="K127" i="11"/>
  <c r="S127" i="11"/>
  <c r="G135" i="11"/>
  <c r="G136" i="11" s="1"/>
  <c r="U99" i="11"/>
  <c r="T103" i="11"/>
  <c r="S107" i="11"/>
  <c r="L111" i="11"/>
  <c r="L112" i="11" s="1"/>
  <c r="O111" i="11"/>
  <c r="O112" i="11" s="1"/>
  <c r="S111" i="11"/>
  <c r="B115" i="11"/>
  <c r="B116" i="11" s="1"/>
  <c r="D135" i="11"/>
  <c r="D136" i="11" s="1"/>
  <c r="L135" i="11"/>
  <c r="L136" i="11" s="1"/>
  <c r="T135" i="11"/>
  <c r="H135" i="11"/>
  <c r="H136" i="11" s="1"/>
  <c r="P135" i="11"/>
  <c r="D139" i="11"/>
  <c r="D140" i="11" s="1"/>
  <c r="L139" i="11"/>
  <c r="L140" i="11" s="1"/>
  <c r="T139" i="11"/>
  <c r="P115" i="11"/>
  <c r="L99" i="11"/>
  <c r="N107" i="11"/>
  <c r="N108" i="11" s="1"/>
  <c r="M115" i="11"/>
  <c r="M116" i="11" s="1"/>
  <c r="F135" i="11"/>
  <c r="F136" i="11" s="1"/>
  <c r="N135" i="11"/>
  <c r="N136" i="11" s="1"/>
  <c r="E139" i="11"/>
  <c r="E140" i="11" s="1"/>
  <c r="M139" i="11"/>
  <c r="M140" i="11" s="1"/>
  <c r="U139" i="11"/>
  <c r="R99" i="11"/>
  <c r="C103" i="11"/>
  <c r="K107" i="11"/>
  <c r="K108" i="11" s="1"/>
  <c r="O119" i="11"/>
  <c r="O120" i="11" s="1"/>
  <c r="F127" i="11"/>
  <c r="N127" i="11"/>
  <c r="H127" i="11"/>
  <c r="P127" i="11"/>
  <c r="D131" i="11"/>
  <c r="D132" i="11" s="1"/>
  <c r="L131" i="11"/>
  <c r="L132" i="11" s="1"/>
  <c r="T131" i="11"/>
  <c r="H95" i="11"/>
  <c r="I195" i="11" s="1"/>
  <c r="L103" i="11"/>
  <c r="T111" i="11"/>
  <c r="I127" i="11"/>
  <c r="Q127" i="11"/>
  <c r="J103" i="11"/>
  <c r="I111" i="11"/>
  <c r="I112" i="11" s="1"/>
  <c r="C115" i="11"/>
  <c r="C116" i="11" s="1"/>
  <c r="D123" i="11"/>
  <c r="D124" i="11" s="1"/>
  <c r="L123" i="11"/>
  <c r="L124" i="11" s="1"/>
  <c r="T123" i="11"/>
  <c r="D127" i="11"/>
  <c r="L127" i="11"/>
  <c r="T127" i="11"/>
  <c r="H131" i="11"/>
  <c r="H132" i="11" s="1"/>
  <c r="P131" i="11"/>
  <c r="K135" i="11"/>
  <c r="K136" i="11" s="1"/>
  <c r="S135" i="11"/>
  <c r="H139" i="11"/>
  <c r="H140" i="11" s="1"/>
  <c r="P139" i="11"/>
  <c r="B139" i="11"/>
  <c r="B140" i="11" s="1"/>
  <c r="J139" i="11"/>
  <c r="J140" i="11" s="1"/>
  <c r="R139" i="11"/>
  <c r="F95" i="11"/>
  <c r="G195" i="11" s="1"/>
  <c r="B103" i="11"/>
  <c r="D107" i="11"/>
  <c r="D108" i="11" s="1"/>
  <c r="C119" i="11"/>
  <c r="C120" i="11" s="1"/>
  <c r="G119" i="11"/>
  <c r="G120" i="11" s="1"/>
  <c r="U119" i="11"/>
  <c r="E123" i="11"/>
  <c r="E124" i="11" s="1"/>
  <c r="M123" i="11"/>
  <c r="M124" i="11" s="1"/>
  <c r="U123" i="11"/>
  <c r="I131" i="11"/>
  <c r="I132" i="11" s="1"/>
  <c r="Q131" i="11"/>
  <c r="Q99" i="11"/>
  <c r="J107" i="11"/>
  <c r="J108" i="11" s="1"/>
  <c r="D115" i="11"/>
  <c r="D116" i="11" s="1"/>
  <c r="G131" i="11"/>
  <c r="G132" i="11" s="1"/>
  <c r="O131" i="11"/>
  <c r="O132" i="11" s="1"/>
  <c r="E135" i="11"/>
  <c r="E136" i="11" s="1"/>
  <c r="M135" i="11"/>
  <c r="M136" i="11" s="1"/>
  <c r="U135" i="11"/>
  <c r="B119" i="11"/>
  <c r="B111" i="11"/>
  <c r="B99" i="11"/>
  <c r="P95" i="11"/>
  <c r="O95" i="11"/>
  <c r="P195" i="11" s="1"/>
  <c r="N95" i="11"/>
  <c r="O195" i="11" s="1"/>
  <c r="E95" i="11"/>
  <c r="F195" i="11" s="1"/>
  <c r="I95" i="11"/>
  <c r="J195" i="11" s="1"/>
  <c r="Q95" i="11"/>
  <c r="B95" i="11"/>
  <c r="C195" i="11" s="1"/>
  <c r="R95" i="11"/>
  <c r="C95" i="11"/>
  <c r="D195" i="11" s="1"/>
  <c r="K95" i="11"/>
  <c r="L195" i="11" s="1"/>
  <c r="S95" i="11"/>
  <c r="J95" i="11"/>
  <c r="K195" i="11" s="1"/>
  <c r="D95" i="11"/>
  <c r="E195" i="11" s="1"/>
  <c r="L95" i="11"/>
  <c r="M195" i="11" s="1"/>
  <c r="T95" i="11"/>
  <c r="B165" i="11"/>
  <c r="C165" i="11"/>
  <c r="D165" i="11"/>
  <c r="E165" i="11"/>
  <c r="F165" i="11"/>
  <c r="G165" i="11"/>
  <c r="H165" i="11"/>
  <c r="I165" i="11"/>
  <c r="J165" i="11"/>
  <c r="K165" i="11"/>
  <c r="L165" i="11"/>
  <c r="M165" i="11"/>
  <c r="N165" i="11"/>
  <c r="O165" i="11"/>
  <c r="P165" i="11"/>
  <c r="Q165" i="11"/>
  <c r="R165" i="11"/>
  <c r="S165" i="11"/>
  <c r="T165" i="11"/>
  <c r="U165" i="11"/>
  <c r="B167" i="11"/>
  <c r="C167" i="11"/>
  <c r="D167" i="11"/>
  <c r="E167" i="11"/>
  <c r="F167" i="11"/>
  <c r="G167" i="11"/>
  <c r="H167" i="11"/>
  <c r="I167" i="11"/>
  <c r="J167" i="11"/>
  <c r="K167" i="11"/>
  <c r="L167" i="11"/>
  <c r="M167" i="11"/>
  <c r="N167" i="11"/>
  <c r="O167" i="11"/>
  <c r="P167" i="11"/>
  <c r="Q167" i="11"/>
  <c r="R167" i="11"/>
  <c r="S167" i="11"/>
  <c r="T167" i="11"/>
  <c r="U167" i="11"/>
  <c r="B169" i="11"/>
  <c r="B170" i="11" s="1"/>
  <c r="C169" i="11"/>
  <c r="C170" i="11" s="1"/>
  <c r="D169" i="11"/>
  <c r="D170" i="11" s="1"/>
  <c r="E169" i="11"/>
  <c r="E170" i="11" s="1"/>
  <c r="F169" i="11"/>
  <c r="F170" i="11" s="1"/>
  <c r="G169" i="11"/>
  <c r="G170" i="11" s="1"/>
  <c r="H169" i="11"/>
  <c r="H170" i="11" s="1"/>
  <c r="I169" i="11"/>
  <c r="I170" i="11" s="1"/>
  <c r="J169" i="11"/>
  <c r="J170" i="11" s="1"/>
  <c r="K169" i="11"/>
  <c r="K170" i="11" s="1"/>
  <c r="L169" i="11"/>
  <c r="L170" i="11" s="1"/>
  <c r="M169" i="11"/>
  <c r="M170" i="11" s="1"/>
  <c r="N169" i="11"/>
  <c r="N170" i="11" s="1"/>
  <c r="O169" i="11"/>
  <c r="O170" i="11" s="1"/>
  <c r="P169" i="11"/>
  <c r="Q169" i="11"/>
  <c r="R169" i="11"/>
  <c r="S169" i="11"/>
  <c r="T169" i="11"/>
  <c r="U169" i="11"/>
  <c r="B171" i="11"/>
  <c r="B172" i="11" s="1"/>
  <c r="C171" i="11"/>
  <c r="C172" i="11" s="1"/>
  <c r="D171" i="11"/>
  <c r="D172" i="11" s="1"/>
  <c r="E171" i="11"/>
  <c r="E172" i="11" s="1"/>
  <c r="F171" i="11"/>
  <c r="F172" i="11" s="1"/>
  <c r="G171" i="11"/>
  <c r="G172" i="11" s="1"/>
  <c r="H171" i="11"/>
  <c r="H172" i="11" s="1"/>
  <c r="I171" i="11"/>
  <c r="I172" i="11" s="1"/>
  <c r="J171" i="11"/>
  <c r="J172" i="11" s="1"/>
  <c r="K171" i="11"/>
  <c r="K172" i="11" s="1"/>
  <c r="L171" i="11"/>
  <c r="L172" i="11" s="1"/>
  <c r="M171" i="11"/>
  <c r="M172" i="11" s="1"/>
  <c r="N171" i="11"/>
  <c r="N172" i="11" s="1"/>
  <c r="O171" i="11"/>
  <c r="O172" i="11" s="1"/>
  <c r="P171" i="11"/>
  <c r="Q171" i="11"/>
  <c r="R171" i="11"/>
  <c r="S171" i="11"/>
  <c r="T171" i="11"/>
  <c r="U171" i="11"/>
  <c r="B175" i="11"/>
  <c r="M168" i="11" l="1"/>
  <c r="N210" i="11"/>
  <c r="E168" i="11"/>
  <c r="F210" i="11"/>
  <c r="I166" i="11"/>
  <c r="J207" i="11"/>
  <c r="D128" i="11"/>
  <c r="E204" i="11"/>
  <c r="I128" i="11"/>
  <c r="J204" i="11"/>
  <c r="H128" i="11"/>
  <c r="I204" i="11"/>
  <c r="E128" i="11"/>
  <c r="F204" i="11"/>
  <c r="L168" i="11"/>
  <c r="M210" i="11"/>
  <c r="D168" i="11"/>
  <c r="E210" i="11"/>
  <c r="H166" i="11"/>
  <c r="I207" i="11"/>
  <c r="N128" i="11"/>
  <c r="O204" i="11"/>
  <c r="K128" i="11"/>
  <c r="L204" i="11"/>
  <c r="M128" i="11"/>
  <c r="N204" i="11"/>
  <c r="O166" i="11"/>
  <c r="P207" i="11"/>
  <c r="J168" i="11"/>
  <c r="K210" i="11"/>
  <c r="I168" i="11"/>
  <c r="J210" i="11"/>
  <c r="M166" i="11"/>
  <c r="N207" i="11"/>
  <c r="E166" i="11"/>
  <c r="F207" i="11"/>
  <c r="C168" i="11"/>
  <c r="D210" i="11"/>
  <c r="B168" i="11"/>
  <c r="C210" i="11"/>
  <c r="H168" i="11"/>
  <c r="I210" i="11"/>
  <c r="L166" i="11"/>
  <c r="M207" i="11"/>
  <c r="D166" i="11"/>
  <c r="E207" i="11"/>
  <c r="G128" i="11"/>
  <c r="H204" i="11"/>
  <c r="K168" i="11"/>
  <c r="L210" i="11"/>
  <c r="G166" i="11"/>
  <c r="H207" i="11"/>
  <c r="F128" i="11"/>
  <c r="G204" i="11"/>
  <c r="C128" i="11"/>
  <c r="D204" i="11"/>
  <c r="F166" i="11"/>
  <c r="G207" i="11"/>
  <c r="O168" i="11"/>
  <c r="P210" i="11"/>
  <c r="G168" i="11"/>
  <c r="H210" i="11"/>
  <c r="K166" i="11"/>
  <c r="L207" i="11"/>
  <c r="C166" i="11"/>
  <c r="D207" i="11"/>
  <c r="J128" i="11"/>
  <c r="K204" i="11"/>
  <c r="O128" i="11"/>
  <c r="P204" i="11"/>
  <c r="N166" i="11"/>
  <c r="O207" i="11"/>
  <c r="B176" i="11"/>
  <c r="C216" i="11"/>
  <c r="N168" i="11"/>
  <c r="O210" i="11"/>
  <c r="F168" i="11"/>
  <c r="G210" i="11"/>
  <c r="J166" i="11"/>
  <c r="K207" i="11"/>
  <c r="B166" i="11"/>
  <c r="C207" i="11"/>
  <c r="L128" i="11"/>
  <c r="M204" i="11"/>
  <c r="B128" i="11"/>
  <c r="C204" i="11"/>
  <c r="O104" i="11"/>
  <c r="P201" i="11"/>
  <c r="G104" i="11"/>
  <c r="H201" i="11"/>
  <c r="E104" i="11"/>
  <c r="F201" i="11"/>
  <c r="H100" i="11"/>
  <c r="I198" i="11"/>
  <c r="M100" i="11"/>
  <c r="N198" i="11"/>
  <c r="F104" i="11"/>
  <c r="G201" i="11"/>
  <c r="C104" i="11"/>
  <c r="D201" i="11"/>
  <c r="J100" i="11"/>
  <c r="K198" i="11"/>
  <c r="I100" i="11"/>
  <c r="J198" i="11"/>
  <c r="I104" i="11"/>
  <c r="J201" i="11"/>
  <c r="K104" i="11"/>
  <c r="L201" i="11"/>
  <c r="D100" i="11"/>
  <c r="E198" i="11"/>
  <c r="B100" i="11"/>
  <c r="C198" i="11"/>
  <c r="L100" i="11"/>
  <c r="M198" i="11"/>
  <c r="F100" i="11"/>
  <c r="G198" i="11"/>
  <c r="N100" i="11"/>
  <c r="O198" i="11"/>
  <c r="O100" i="11"/>
  <c r="P198" i="11"/>
  <c r="J104" i="11"/>
  <c r="K201" i="11"/>
  <c r="L104" i="11"/>
  <c r="M201" i="11"/>
  <c r="H104" i="11"/>
  <c r="I201" i="11"/>
  <c r="K100" i="11"/>
  <c r="L198" i="11"/>
  <c r="E100" i="11"/>
  <c r="F198" i="11"/>
  <c r="B104" i="11"/>
  <c r="C201" i="11"/>
  <c r="N104" i="11"/>
  <c r="O201" i="11"/>
  <c r="M104" i="11"/>
  <c r="N201" i="11"/>
  <c r="G100" i="11"/>
  <c r="H198" i="11"/>
  <c r="D104" i="11"/>
  <c r="E201" i="11"/>
  <c r="C100" i="11"/>
  <c r="D198" i="11"/>
  <c r="O96" i="11"/>
  <c r="C96" i="11"/>
  <c r="B96" i="11"/>
  <c r="K96" i="11"/>
  <c r="L96" i="11"/>
  <c r="M96" i="11"/>
  <c r="G96" i="11"/>
  <c r="D96" i="11"/>
  <c r="I96" i="11"/>
  <c r="J96" i="11"/>
  <c r="E96" i="11"/>
  <c r="H96" i="11"/>
  <c r="N96" i="11"/>
  <c r="F96" i="11"/>
  <c r="B161" i="11"/>
  <c r="B160" i="11"/>
  <c r="B158" i="11"/>
  <c r="B162" i="11"/>
  <c r="B152" i="11"/>
  <c r="B159" i="11"/>
  <c r="B153" i="11"/>
  <c r="B157" i="11"/>
  <c r="B120" i="11"/>
  <c r="B154" i="11"/>
  <c r="B156" i="11"/>
  <c r="B155" i="11"/>
  <c r="B112" i="11"/>
  <c r="B151" i="11"/>
  <c r="N83" i="11"/>
  <c r="N91" i="11"/>
  <c r="N92" i="11" s="1"/>
  <c r="O83" i="11"/>
  <c r="O91" i="11"/>
  <c r="O92" i="11" s="1"/>
  <c r="E87" i="11"/>
  <c r="E88" i="11" s="1"/>
  <c r="H87" i="11"/>
  <c r="H88" i="11" s="1"/>
  <c r="F83" i="11"/>
  <c r="M87" i="11"/>
  <c r="M88" i="11" s="1"/>
  <c r="F91" i="11"/>
  <c r="F92" i="11" s="1"/>
  <c r="G83" i="11"/>
  <c r="U87" i="11"/>
  <c r="G91" i="11"/>
  <c r="G92" i="11" s="1"/>
  <c r="H91" i="11"/>
  <c r="H92" i="11" s="1"/>
  <c r="P91" i="11"/>
  <c r="I91" i="11"/>
  <c r="I92" i="11" s="1"/>
  <c r="Q91" i="11"/>
  <c r="B91" i="11"/>
  <c r="J91" i="11"/>
  <c r="J92" i="11" s="1"/>
  <c r="R91" i="11"/>
  <c r="C91" i="11"/>
  <c r="C92" i="11" s="1"/>
  <c r="K91" i="11"/>
  <c r="K92" i="11" s="1"/>
  <c r="S91" i="11"/>
  <c r="D91" i="11"/>
  <c r="D92" i="11" s="1"/>
  <c r="L91" i="11"/>
  <c r="L92" i="11" s="1"/>
  <c r="T91" i="11"/>
  <c r="E91" i="11"/>
  <c r="E92" i="11" s="1"/>
  <c r="M91" i="11"/>
  <c r="M92" i="11" s="1"/>
  <c r="U91" i="11"/>
  <c r="F87" i="11"/>
  <c r="F88" i="11" s="1"/>
  <c r="N87" i="11"/>
  <c r="N88" i="11" s="1"/>
  <c r="G87" i="11"/>
  <c r="G88" i="11" s="1"/>
  <c r="O87" i="11"/>
  <c r="O88" i="11" s="1"/>
  <c r="P87" i="11"/>
  <c r="I87" i="11"/>
  <c r="I88" i="11" s="1"/>
  <c r="Q87" i="11"/>
  <c r="B87" i="11"/>
  <c r="R87" i="11"/>
  <c r="C87" i="11"/>
  <c r="C88" i="11" s="1"/>
  <c r="K87" i="11"/>
  <c r="K88" i="11" s="1"/>
  <c r="S87" i="11"/>
  <c r="J87" i="11"/>
  <c r="J88" i="11" s="1"/>
  <c r="D87" i="11"/>
  <c r="D88" i="11" s="1"/>
  <c r="L87" i="11"/>
  <c r="L88" i="11" s="1"/>
  <c r="T87" i="11"/>
  <c r="H83" i="11"/>
  <c r="P83" i="11"/>
  <c r="I83" i="11"/>
  <c r="Q83" i="11"/>
  <c r="B83" i="11"/>
  <c r="J83" i="11"/>
  <c r="R83" i="11"/>
  <c r="C83" i="11"/>
  <c r="K83" i="11"/>
  <c r="S83" i="11"/>
  <c r="D83" i="11"/>
  <c r="L83" i="11"/>
  <c r="T83" i="11"/>
  <c r="E83" i="11"/>
  <c r="M83" i="11"/>
  <c r="U83" i="11"/>
  <c r="E192" i="11" l="1"/>
  <c r="J192" i="11"/>
  <c r="P206" i="11"/>
  <c r="P205" i="11"/>
  <c r="P212" i="11"/>
  <c r="P211" i="11"/>
  <c r="P209" i="11"/>
  <c r="P208" i="11"/>
  <c r="F192" i="11"/>
  <c r="I192" i="11"/>
  <c r="D192" i="11"/>
  <c r="N192" i="11"/>
  <c r="P192" i="11"/>
  <c r="C192" i="11"/>
  <c r="O192" i="11"/>
  <c r="G192" i="11"/>
  <c r="L192" i="11"/>
  <c r="M192" i="11"/>
  <c r="K192" i="11"/>
  <c r="H192" i="11"/>
  <c r="P200" i="11"/>
  <c r="P199" i="11"/>
  <c r="P203" i="11"/>
  <c r="P202" i="11"/>
  <c r="F84" i="11"/>
  <c r="H84" i="11"/>
  <c r="I84" i="11"/>
  <c r="K84" i="11"/>
  <c r="N84" i="11"/>
  <c r="C84" i="11"/>
  <c r="M84" i="11"/>
  <c r="D84" i="11"/>
  <c r="E84" i="11"/>
  <c r="J84" i="11"/>
  <c r="G84" i="11"/>
  <c r="O84" i="11"/>
  <c r="P197" i="11"/>
  <c r="P196" i="11"/>
  <c r="L84" i="11"/>
  <c r="B147" i="11"/>
  <c r="B92" i="11"/>
  <c r="B150" i="11"/>
  <c r="B84" i="11"/>
  <c r="B148" i="11"/>
  <c r="B88" i="11"/>
  <c r="B149" i="11"/>
  <c r="P194" i="11" l="1"/>
  <c r="P193" i="11"/>
  <c r="AG6" i="2"/>
  <c r="AH6" i="2"/>
  <c r="AI6" i="2"/>
  <c r="AJ6" i="2"/>
  <c r="AK6" i="2"/>
  <c r="AL6" i="2"/>
  <c r="AM6" i="2"/>
  <c r="AN6" i="2"/>
  <c r="AO6" i="2"/>
  <c r="AP6" i="2"/>
  <c r="AQ6" i="2"/>
  <c r="AR6" i="2"/>
  <c r="AS6" i="2"/>
  <c r="C18" i="2"/>
  <c r="D18" i="2"/>
  <c r="E18" i="2"/>
  <c r="F18" i="2"/>
  <c r="G18" i="2"/>
  <c r="H18" i="2"/>
  <c r="I18" i="2"/>
  <c r="J18" i="2"/>
  <c r="K18" i="2"/>
  <c r="L18" i="2"/>
  <c r="M18" i="2"/>
  <c r="N18" i="2"/>
  <c r="O18" i="2"/>
  <c r="D19" i="2"/>
  <c r="E19" i="2"/>
  <c r="F19" i="2"/>
  <c r="G19" i="2"/>
  <c r="H19" i="2"/>
  <c r="L19" i="2"/>
  <c r="M19" i="2"/>
  <c r="N19" i="2"/>
  <c r="O19" i="2"/>
  <c r="Q19" i="2"/>
  <c r="C19" i="2" s="1"/>
  <c r="R19" i="2"/>
  <c r="S19" i="2"/>
  <c r="T19" i="2"/>
  <c r="U19" i="2"/>
  <c r="V19" i="2"/>
  <c r="W19" i="2"/>
  <c r="I19" i="2" s="1"/>
  <c r="X19" i="2"/>
  <c r="J19" i="2" s="1"/>
  <c r="Y19" i="2"/>
  <c r="K19" i="2" s="1"/>
  <c r="Z19" i="2"/>
  <c r="AA19" i="2"/>
  <c r="AB19" i="2"/>
  <c r="AC19" i="2"/>
  <c r="C20" i="2"/>
  <c r="D20" i="2"/>
  <c r="E20" i="2"/>
  <c r="F20" i="2"/>
  <c r="J20" i="2"/>
  <c r="K20" i="2"/>
  <c r="L20" i="2"/>
  <c r="M20" i="2"/>
  <c r="N20" i="2"/>
  <c r="Q20" i="2"/>
  <c r="R20" i="2"/>
  <c r="S20" i="2"/>
  <c r="T20" i="2"/>
  <c r="U20" i="2"/>
  <c r="G20" i="2" s="1"/>
  <c r="V20" i="2"/>
  <c r="H20" i="2" s="1"/>
  <c r="W20" i="2"/>
  <c r="I20" i="2" s="1"/>
  <c r="X20" i="2"/>
  <c r="Y20" i="2"/>
  <c r="Z20" i="2"/>
  <c r="AA20" i="2"/>
  <c r="AB20" i="2"/>
  <c r="AC20" i="2"/>
  <c r="O20" i="2" s="1"/>
  <c r="C22" i="2"/>
  <c r="D22" i="2"/>
  <c r="E22" i="2"/>
  <c r="F22" i="2"/>
  <c r="G22" i="2"/>
  <c r="H22" i="2"/>
  <c r="I22" i="2"/>
  <c r="J22" i="2"/>
  <c r="K22" i="2"/>
  <c r="L22" i="2"/>
  <c r="M22" i="2"/>
  <c r="N22" i="2"/>
  <c r="O22" i="2"/>
  <c r="G23" i="2"/>
  <c r="H23" i="2"/>
  <c r="I23" i="2"/>
  <c r="J23" i="2"/>
  <c r="K23" i="2"/>
  <c r="O23" i="2"/>
  <c r="Q23" i="2"/>
  <c r="R23" i="2"/>
  <c r="D23" i="2" s="1"/>
  <c r="S23" i="2"/>
  <c r="E23" i="2" s="1"/>
  <c r="T23" i="2"/>
  <c r="F23" i="2" s="1"/>
  <c r="U23" i="2"/>
  <c r="V23" i="2"/>
  <c r="W23" i="2"/>
  <c r="X23" i="2"/>
  <c r="Y23" i="2"/>
  <c r="Z23" i="2"/>
  <c r="L23" i="2" s="1"/>
  <c r="AA23" i="2"/>
  <c r="M23" i="2" s="1"/>
  <c r="AB23" i="2"/>
  <c r="N23" i="2" s="1"/>
  <c r="AC23" i="2"/>
  <c r="E24" i="2"/>
  <c r="F24" i="2"/>
  <c r="G24" i="2"/>
  <c r="H24" i="2"/>
  <c r="I24" i="2"/>
  <c r="M24" i="2"/>
  <c r="N24" i="2"/>
  <c r="O24" i="2"/>
  <c r="Q24" i="2"/>
  <c r="C24" i="2" s="1"/>
  <c r="R24" i="2"/>
  <c r="D24" i="2" s="1"/>
  <c r="S24" i="2"/>
  <c r="T24" i="2"/>
  <c r="U24" i="2"/>
  <c r="V24" i="2"/>
  <c r="W24" i="2"/>
  <c r="X24" i="2"/>
  <c r="J24" i="2" s="1"/>
  <c r="Y24" i="2"/>
  <c r="K24" i="2" s="1"/>
  <c r="Z24" i="2"/>
  <c r="L24" i="2" s="1"/>
  <c r="AA24" i="2"/>
  <c r="AB24" i="2"/>
  <c r="AC24" i="2"/>
  <c r="C26" i="2"/>
  <c r="C97" i="2"/>
  <c r="D97" i="2"/>
  <c r="E97" i="2"/>
  <c r="F97" i="2"/>
  <c r="G97" i="2"/>
  <c r="H97" i="2"/>
  <c r="I97" i="2"/>
  <c r="J97" i="2"/>
  <c r="K97" i="2"/>
  <c r="L97" i="2"/>
  <c r="M97" i="2"/>
  <c r="N97" i="2"/>
  <c r="O97" i="2"/>
  <c r="O7" i="11"/>
  <c r="Q7" i="11" s="1"/>
  <c r="P6" i="11"/>
  <c r="O6" i="11"/>
  <c r="Q6" i="11" s="1"/>
  <c r="P5" i="11"/>
  <c r="O5" i="11"/>
  <c r="O4" i="11"/>
  <c r="Q4" i="11" s="1"/>
  <c r="O3" i="11"/>
  <c r="Q3" i="11" s="1"/>
  <c r="Q5" i="11" l="1"/>
  <c r="Q2" i="2"/>
  <c r="W258" i="8"/>
  <c r="V253" i="8" l="1"/>
  <c r="U253" i="8"/>
  <c r="T253" i="8"/>
  <c r="S253" i="8"/>
  <c r="R253" i="8"/>
  <c r="Q253" i="8"/>
  <c r="P253" i="8"/>
  <c r="O253" i="8"/>
  <c r="N253" i="8"/>
  <c r="M253" i="8"/>
  <c r="L253" i="8"/>
  <c r="K253" i="8"/>
  <c r="J253" i="8"/>
  <c r="I253" i="8"/>
  <c r="H253" i="8"/>
  <c r="G253" i="8"/>
  <c r="F253" i="8"/>
  <c r="E253" i="8"/>
  <c r="D253" i="8"/>
  <c r="C253" i="8"/>
  <c r="W252" i="8"/>
  <c r="X252" i="8" s="1"/>
  <c r="W247" i="8"/>
  <c r="X247" i="8" s="1"/>
  <c r="V171" i="11"/>
  <c r="W242" i="8"/>
  <c r="X242" i="8" s="1"/>
  <c r="V169" i="11"/>
  <c r="W237" i="8"/>
  <c r="X237" i="8" s="1"/>
  <c r="V167" i="11"/>
  <c r="W232" i="8"/>
  <c r="X232" i="8" s="1"/>
  <c r="V165" i="11"/>
  <c r="V219" i="1"/>
  <c r="U219" i="1"/>
  <c r="T219" i="1"/>
  <c r="S219" i="1"/>
  <c r="R219" i="1"/>
  <c r="Q219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C219" i="1"/>
  <c r="A222" i="1"/>
  <c r="W211" i="11" l="1"/>
  <c r="R211" i="11" s="1"/>
  <c r="W253" i="8"/>
  <c r="X253" i="8" s="1"/>
  <c r="W208" i="11"/>
  <c r="V168" i="11"/>
  <c r="V166" i="11"/>
  <c r="V172" i="11"/>
  <c r="V170" i="11"/>
  <c r="U211" i="11" l="1"/>
  <c r="Q211" i="11"/>
  <c r="S211" i="11"/>
  <c r="T211" i="11"/>
  <c r="V211" i="11"/>
  <c r="Q208" i="11"/>
  <c r="V208" i="11"/>
  <c r="U208" i="11"/>
  <c r="T208" i="11"/>
  <c r="S208" i="11"/>
  <c r="R208" i="11"/>
  <c r="F83" i="8"/>
  <c r="B83" i="8" s="1"/>
  <c r="F81" i="8"/>
  <c r="B81" i="8" s="1"/>
  <c r="F80" i="8"/>
  <c r="F79" i="8"/>
  <c r="F72" i="8"/>
  <c r="B72" i="8" s="1"/>
  <c r="F71" i="8"/>
  <c r="B71" i="8" s="1"/>
  <c r="C124" i="8"/>
  <c r="C125" i="8" s="1"/>
  <c r="C131" i="8"/>
  <c r="C132" i="8" s="1"/>
  <c r="W227" i="8"/>
  <c r="X227" i="8" s="1"/>
  <c r="W220" i="8"/>
  <c r="X220" i="8" s="1"/>
  <c r="W213" i="8"/>
  <c r="X213" i="8" s="1"/>
  <c r="W206" i="8"/>
  <c r="X206" i="8" s="1"/>
  <c r="W199" i="8"/>
  <c r="X199" i="8" s="1"/>
  <c r="W192" i="8"/>
  <c r="X192" i="8" s="1"/>
  <c r="W185" i="8"/>
  <c r="X185" i="8" s="1"/>
  <c r="W178" i="8"/>
  <c r="X178" i="8" s="1"/>
  <c r="W171" i="8"/>
  <c r="X171" i="8" s="1"/>
  <c r="W164" i="8"/>
  <c r="X164" i="8" s="1"/>
  <c r="W150" i="8"/>
  <c r="X150" i="8" s="1"/>
  <c r="W143" i="8"/>
  <c r="X143" i="8" s="1"/>
  <c r="W136" i="8"/>
  <c r="X136" i="8" s="1"/>
  <c r="W129" i="8"/>
  <c r="X129" i="8" s="1"/>
  <c r="W122" i="8"/>
  <c r="X122" i="8" s="1"/>
  <c r="W115" i="8"/>
  <c r="X115" i="8" s="1"/>
  <c r="W225" i="8"/>
  <c r="X225" i="8" s="1"/>
  <c r="W218" i="8"/>
  <c r="X218" i="8" s="1"/>
  <c r="W211" i="8"/>
  <c r="X211" i="8" s="1"/>
  <c r="W204" i="8"/>
  <c r="X204" i="8" s="1"/>
  <c r="W197" i="8"/>
  <c r="X197" i="8" s="1"/>
  <c r="W190" i="8"/>
  <c r="X190" i="8" s="1"/>
  <c r="W183" i="8"/>
  <c r="X183" i="8" s="1"/>
  <c r="W176" i="8"/>
  <c r="X176" i="8" s="1"/>
  <c r="W169" i="8"/>
  <c r="X169" i="8" s="1"/>
  <c r="W162" i="8"/>
  <c r="X162" i="8" s="1"/>
  <c r="W155" i="8"/>
  <c r="X155" i="8" s="1"/>
  <c r="W148" i="8"/>
  <c r="X148" i="8" s="1"/>
  <c r="W141" i="8"/>
  <c r="X141" i="8" s="1"/>
  <c r="W134" i="8"/>
  <c r="X134" i="8" s="1"/>
  <c r="W127" i="8"/>
  <c r="X127" i="8" s="1"/>
  <c r="W120" i="8"/>
  <c r="X120" i="8" s="1"/>
  <c r="W113" i="8"/>
  <c r="X113" i="8" s="1"/>
  <c r="W233" i="8"/>
  <c r="W108" i="8"/>
  <c r="V198" i="8" l="1"/>
  <c r="V200" i="8" s="1"/>
  <c r="N198" i="8"/>
  <c r="F198" i="8"/>
  <c r="R191" i="8"/>
  <c r="R193" i="8" s="1"/>
  <c r="J191" i="8"/>
  <c r="V184" i="8"/>
  <c r="V186" i="8" s="1"/>
  <c r="N184" i="8"/>
  <c r="F184" i="8"/>
  <c r="R177" i="8"/>
  <c r="R179" i="8" s="1"/>
  <c r="J177" i="8"/>
  <c r="V170" i="8"/>
  <c r="V172" i="8" s="1"/>
  <c r="N170" i="8"/>
  <c r="F170" i="8"/>
  <c r="R163" i="8"/>
  <c r="R165" i="8" s="1"/>
  <c r="J163" i="8"/>
  <c r="R198" i="8"/>
  <c r="R200" i="8" s="1"/>
  <c r="V191" i="8"/>
  <c r="V193" i="8" s="1"/>
  <c r="F191" i="8"/>
  <c r="J184" i="8"/>
  <c r="N177" i="8"/>
  <c r="R170" i="8"/>
  <c r="R172" i="8" s="1"/>
  <c r="N163" i="8"/>
  <c r="F163" i="8"/>
  <c r="U191" i="8"/>
  <c r="U193" i="8" s="1"/>
  <c r="Q184" i="8"/>
  <c r="Q186" i="8" s="1"/>
  <c r="Q170" i="8"/>
  <c r="Q172" i="8" s="1"/>
  <c r="M163" i="8"/>
  <c r="H198" i="8"/>
  <c r="D191" i="8"/>
  <c r="T177" i="8"/>
  <c r="T179" i="8" s="1"/>
  <c r="D177" i="8"/>
  <c r="D163" i="8"/>
  <c r="S191" i="8"/>
  <c r="S193" i="8" s="1"/>
  <c r="O184" i="8"/>
  <c r="S177" i="8"/>
  <c r="S179" i="8" s="1"/>
  <c r="C177" i="8"/>
  <c r="G170" i="8"/>
  <c r="U198" i="8"/>
  <c r="U200" i="8" s="1"/>
  <c r="M198" i="8"/>
  <c r="E198" i="8"/>
  <c r="Q191" i="8"/>
  <c r="Q193" i="8" s="1"/>
  <c r="I191" i="8"/>
  <c r="U184" i="8"/>
  <c r="U186" i="8" s="1"/>
  <c r="M184" i="8"/>
  <c r="E184" i="8"/>
  <c r="Q177" i="8"/>
  <c r="Q179" i="8" s="1"/>
  <c r="I177" i="8"/>
  <c r="U170" i="8"/>
  <c r="U172" i="8" s="1"/>
  <c r="M170" i="8"/>
  <c r="E170" i="8"/>
  <c r="Q163" i="8"/>
  <c r="Q165" i="8" s="1"/>
  <c r="I163" i="8"/>
  <c r="J170" i="8"/>
  <c r="M191" i="8"/>
  <c r="U177" i="8"/>
  <c r="U179" i="8" s="1"/>
  <c r="U163" i="8"/>
  <c r="U165" i="8" s="1"/>
  <c r="P198" i="8"/>
  <c r="T191" i="8"/>
  <c r="T193" i="8" s="1"/>
  <c r="P184" i="8"/>
  <c r="H170" i="8"/>
  <c r="O198" i="8"/>
  <c r="K191" i="8"/>
  <c r="G184" i="8"/>
  <c r="K177" i="8"/>
  <c r="O170" i="8"/>
  <c r="S163" i="8"/>
  <c r="S165" i="8" s="1"/>
  <c r="T198" i="8"/>
  <c r="T200" i="8" s="1"/>
  <c r="L198" i="8"/>
  <c r="D198" i="8"/>
  <c r="P191" i="8"/>
  <c r="H191" i="8"/>
  <c r="T184" i="8"/>
  <c r="T186" i="8" s="1"/>
  <c r="L184" i="8"/>
  <c r="D184" i="8"/>
  <c r="P177" i="8"/>
  <c r="H177" i="8"/>
  <c r="T170" i="8"/>
  <c r="T172" i="8" s="1"/>
  <c r="L170" i="8"/>
  <c r="D170" i="8"/>
  <c r="P163" i="8"/>
  <c r="H163" i="8"/>
  <c r="F177" i="8"/>
  <c r="Q198" i="8"/>
  <c r="Q200" i="8" s="1"/>
  <c r="E191" i="8"/>
  <c r="E177" i="8"/>
  <c r="E163" i="8"/>
  <c r="L191" i="8"/>
  <c r="L177" i="8"/>
  <c r="T163" i="8"/>
  <c r="T165" i="8" s="1"/>
  <c r="K163" i="8"/>
  <c r="S198" i="8"/>
  <c r="S200" i="8" s="1"/>
  <c r="K198" i="8"/>
  <c r="C198" i="8"/>
  <c r="O191" i="8"/>
  <c r="G191" i="8"/>
  <c r="S184" i="8"/>
  <c r="S186" i="8" s="1"/>
  <c r="K184" i="8"/>
  <c r="C184" i="8"/>
  <c r="O177" i="8"/>
  <c r="G177" i="8"/>
  <c r="S170" i="8"/>
  <c r="S172" i="8" s="1"/>
  <c r="K170" i="8"/>
  <c r="C170" i="8"/>
  <c r="O163" i="8"/>
  <c r="G163" i="8"/>
  <c r="J198" i="8"/>
  <c r="N191" i="8"/>
  <c r="R184" i="8"/>
  <c r="R186" i="8" s="1"/>
  <c r="V177" i="8"/>
  <c r="V179" i="8" s="1"/>
  <c r="V163" i="8"/>
  <c r="V165" i="8" s="1"/>
  <c r="I198" i="8"/>
  <c r="I184" i="8"/>
  <c r="M177" i="8"/>
  <c r="I170" i="8"/>
  <c r="H184" i="8"/>
  <c r="P170" i="8"/>
  <c r="L163" i="8"/>
  <c r="G198" i="8"/>
  <c r="C191" i="8"/>
  <c r="C163" i="8"/>
  <c r="O156" i="8"/>
  <c r="O158" i="8" s="1"/>
  <c r="G156" i="8"/>
  <c r="G158" i="8" s="1"/>
  <c r="M156" i="8"/>
  <c r="M158" i="8" s="1"/>
  <c r="I156" i="8"/>
  <c r="I158" i="8" s="1"/>
  <c r="V156" i="8"/>
  <c r="V158" i="8" s="1"/>
  <c r="N156" i="8"/>
  <c r="F156" i="8"/>
  <c r="F158" i="8" s="1"/>
  <c r="U156" i="8"/>
  <c r="U158" i="8" s="1"/>
  <c r="E156" i="8"/>
  <c r="E158" i="8" s="1"/>
  <c r="J156" i="8"/>
  <c r="J158" i="8" s="1"/>
  <c r="H156" i="8"/>
  <c r="H158" i="8" s="1"/>
  <c r="T156" i="8"/>
  <c r="T158" i="8" s="1"/>
  <c r="L156" i="8"/>
  <c r="L158" i="8" s="1"/>
  <c r="D156" i="8"/>
  <c r="D158" i="8" s="1"/>
  <c r="P156" i="8"/>
  <c r="P158" i="8" s="1"/>
  <c r="S156" i="8"/>
  <c r="S158" i="8" s="1"/>
  <c r="K156" i="8"/>
  <c r="K158" i="8" s="1"/>
  <c r="C156" i="8"/>
  <c r="C158" i="8" s="1"/>
  <c r="R156" i="8"/>
  <c r="R158" i="8" s="1"/>
  <c r="Q156" i="8"/>
  <c r="Q158" i="8" s="1"/>
  <c r="V226" i="8"/>
  <c r="V228" i="8" s="1"/>
  <c r="N226" i="8"/>
  <c r="F226" i="8"/>
  <c r="R219" i="8"/>
  <c r="R221" i="8" s="1"/>
  <c r="J219" i="8"/>
  <c r="V212" i="8"/>
  <c r="V214" i="8" s="1"/>
  <c r="N212" i="8"/>
  <c r="F212" i="8"/>
  <c r="R205" i="8"/>
  <c r="R207" i="8" s="1"/>
  <c r="J205" i="8"/>
  <c r="N219" i="8"/>
  <c r="F219" i="8"/>
  <c r="V205" i="8"/>
  <c r="V207" i="8" s="1"/>
  <c r="M219" i="8"/>
  <c r="I212" i="8"/>
  <c r="E205" i="8"/>
  <c r="P226" i="8"/>
  <c r="D219" i="8"/>
  <c r="T205" i="8"/>
  <c r="T207" i="8" s="1"/>
  <c r="S219" i="8"/>
  <c r="S221" i="8" s="1"/>
  <c r="C219" i="8"/>
  <c r="K205" i="8"/>
  <c r="U226" i="8"/>
  <c r="U228" i="8" s="1"/>
  <c r="M226" i="8"/>
  <c r="E226" i="8"/>
  <c r="Q219" i="8"/>
  <c r="Q221" i="8" s="1"/>
  <c r="I219" i="8"/>
  <c r="U212" i="8"/>
  <c r="U214" i="8" s="1"/>
  <c r="M212" i="8"/>
  <c r="E212" i="8"/>
  <c r="Q205" i="8"/>
  <c r="Q207" i="8" s="1"/>
  <c r="I205" i="8"/>
  <c r="V219" i="8"/>
  <c r="V221" i="8" s="1"/>
  <c r="N205" i="8"/>
  <c r="Q226" i="8"/>
  <c r="Q228" i="8" s="1"/>
  <c r="E219" i="8"/>
  <c r="M205" i="8"/>
  <c r="L219" i="8"/>
  <c r="H212" i="8"/>
  <c r="O226" i="8"/>
  <c r="G212" i="8"/>
  <c r="T226" i="8"/>
  <c r="T228" i="8" s="1"/>
  <c r="L226" i="8"/>
  <c r="D226" i="8"/>
  <c r="P219" i="8"/>
  <c r="H219" i="8"/>
  <c r="T212" i="8"/>
  <c r="T214" i="8" s="1"/>
  <c r="L212" i="8"/>
  <c r="D212" i="8"/>
  <c r="P205" i="8"/>
  <c r="H205" i="8"/>
  <c r="J226" i="8"/>
  <c r="R212" i="8"/>
  <c r="R214" i="8" s="1"/>
  <c r="F205" i="8"/>
  <c r="I226" i="8"/>
  <c r="Q212" i="8"/>
  <c r="Q214" i="8" s="1"/>
  <c r="T219" i="8"/>
  <c r="T221" i="8" s="1"/>
  <c r="D205" i="8"/>
  <c r="K219" i="8"/>
  <c r="S205" i="8"/>
  <c r="S207" i="8" s="1"/>
  <c r="S226" i="8"/>
  <c r="S228" i="8" s="1"/>
  <c r="K226" i="8"/>
  <c r="C226" i="8"/>
  <c r="O219" i="8"/>
  <c r="G219" i="8"/>
  <c r="S212" i="8"/>
  <c r="S214" i="8" s="1"/>
  <c r="K212" i="8"/>
  <c r="C212" i="8"/>
  <c r="O205" i="8"/>
  <c r="G205" i="8"/>
  <c r="R226" i="8"/>
  <c r="R228" i="8" s="1"/>
  <c r="J212" i="8"/>
  <c r="U219" i="8"/>
  <c r="U221" i="8" s="1"/>
  <c r="U205" i="8"/>
  <c r="U207" i="8" s="1"/>
  <c r="H226" i="8"/>
  <c r="P212" i="8"/>
  <c r="L205" i="8"/>
  <c r="G226" i="8"/>
  <c r="O212" i="8"/>
  <c r="C205" i="8"/>
  <c r="B79" i="8"/>
  <c r="B80" i="8"/>
  <c r="W177" i="8" l="1"/>
  <c r="X177" i="8" s="1"/>
  <c r="W219" i="8"/>
  <c r="X219" i="8" s="1"/>
  <c r="W184" i="8"/>
  <c r="X184" i="8" s="1"/>
  <c r="W226" i="8"/>
  <c r="X226" i="8" s="1"/>
  <c r="N158" i="8"/>
  <c r="W156" i="8"/>
  <c r="X156" i="8" s="1"/>
  <c r="W163" i="8"/>
  <c r="X163" i="8" s="1"/>
  <c r="W205" i="8"/>
  <c r="X205" i="8" s="1"/>
  <c r="W170" i="8"/>
  <c r="X170" i="8" s="1"/>
  <c r="W212" i="8"/>
  <c r="X212" i="8" s="1"/>
  <c r="W191" i="8"/>
  <c r="X191" i="8" s="1"/>
  <c r="W198" i="8"/>
  <c r="X198" i="8" s="1"/>
  <c r="W106" i="8" l="1"/>
  <c r="X106" i="8" s="1"/>
  <c r="W254" i="8"/>
  <c r="V254" i="8"/>
  <c r="V255" i="8" s="1"/>
  <c r="V256" i="8" s="1"/>
  <c r="U254" i="8"/>
  <c r="U255" i="8" s="1"/>
  <c r="U256" i="8" s="1"/>
  <c r="T254" i="8"/>
  <c r="T255" i="8" s="1"/>
  <c r="T256" i="8" s="1"/>
  <c r="S254" i="8"/>
  <c r="S255" i="8" s="1"/>
  <c r="S256" i="8" s="1"/>
  <c r="R254" i="8"/>
  <c r="R255" i="8" s="1"/>
  <c r="R256" i="8" s="1"/>
  <c r="Q254" i="8"/>
  <c r="Q255" i="8" s="1"/>
  <c r="Q256" i="8" s="1"/>
  <c r="P254" i="8"/>
  <c r="O254" i="8"/>
  <c r="N254" i="8"/>
  <c r="M254" i="8"/>
  <c r="L254" i="8"/>
  <c r="K254" i="8"/>
  <c r="J254" i="8"/>
  <c r="I254" i="8"/>
  <c r="H254" i="8"/>
  <c r="G254" i="8"/>
  <c r="F254" i="8"/>
  <c r="E254" i="8"/>
  <c r="D254" i="8"/>
  <c r="C254" i="8"/>
  <c r="W248" i="8"/>
  <c r="V248" i="8"/>
  <c r="V249" i="8" s="1"/>
  <c r="V250" i="8" s="1"/>
  <c r="U248" i="8"/>
  <c r="U249" i="8" s="1"/>
  <c r="U250" i="8" s="1"/>
  <c r="T248" i="8"/>
  <c r="T249" i="8" s="1"/>
  <c r="T250" i="8" s="1"/>
  <c r="S248" i="8"/>
  <c r="S249" i="8" s="1"/>
  <c r="S250" i="8" s="1"/>
  <c r="R248" i="8"/>
  <c r="R249" i="8" s="1"/>
  <c r="R250" i="8" s="1"/>
  <c r="Q248" i="8"/>
  <c r="Q249" i="8" s="1"/>
  <c r="Q250" i="8" s="1"/>
  <c r="P248" i="8"/>
  <c r="O248" i="8"/>
  <c r="N248" i="8"/>
  <c r="M248" i="8"/>
  <c r="L248" i="8"/>
  <c r="K248" i="8"/>
  <c r="J248" i="8"/>
  <c r="I248" i="8"/>
  <c r="H248" i="8"/>
  <c r="G248" i="8"/>
  <c r="F248" i="8"/>
  <c r="E248" i="8"/>
  <c r="D248" i="8"/>
  <c r="C248" i="8"/>
  <c r="W243" i="8"/>
  <c r="V243" i="8"/>
  <c r="V244" i="8" s="1"/>
  <c r="V245" i="8" s="1"/>
  <c r="U243" i="8"/>
  <c r="U244" i="8" s="1"/>
  <c r="U245" i="8" s="1"/>
  <c r="T243" i="8"/>
  <c r="T244" i="8" s="1"/>
  <c r="T245" i="8" s="1"/>
  <c r="S243" i="8"/>
  <c r="S244" i="8" s="1"/>
  <c r="S245" i="8" s="1"/>
  <c r="R243" i="8"/>
  <c r="R244" i="8" s="1"/>
  <c r="R245" i="8" s="1"/>
  <c r="Q243" i="8"/>
  <c r="Q244" i="8" s="1"/>
  <c r="Q245" i="8" s="1"/>
  <c r="P243" i="8"/>
  <c r="O243" i="8"/>
  <c r="N243" i="8"/>
  <c r="M243" i="8"/>
  <c r="L243" i="8"/>
  <c r="K243" i="8"/>
  <c r="J243" i="8"/>
  <c r="I243" i="8"/>
  <c r="H243" i="8"/>
  <c r="G243" i="8"/>
  <c r="F243" i="8"/>
  <c r="E243" i="8"/>
  <c r="D243" i="8"/>
  <c r="C243" i="8"/>
  <c r="W238" i="8"/>
  <c r="V238" i="8"/>
  <c r="U238" i="8"/>
  <c r="T238" i="8"/>
  <c r="S238" i="8"/>
  <c r="R238" i="8"/>
  <c r="Q238" i="8"/>
  <c r="P238" i="8"/>
  <c r="O238" i="8"/>
  <c r="N238" i="8"/>
  <c r="M238" i="8"/>
  <c r="L238" i="8"/>
  <c r="K238" i="8"/>
  <c r="J238" i="8"/>
  <c r="I238" i="8"/>
  <c r="H238" i="8"/>
  <c r="G238" i="8"/>
  <c r="F238" i="8"/>
  <c r="E238" i="8"/>
  <c r="D238" i="8"/>
  <c r="C238" i="8"/>
  <c r="V233" i="8"/>
  <c r="V234" i="8" s="1"/>
  <c r="V235" i="8" s="1"/>
  <c r="U233" i="8"/>
  <c r="U234" i="8" s="1"/>
  <c r="U235" i="8" s="1"/>
  <c r="T233" i="8"/>
  <c r="T234" i="8" s="1"/>
  <c r="T235" i="8" s="1"/>
  <c r="S233" i="8"/>
  <c r="S234" i="8" s="1"/>
  <c r="S235" i="8" s="1"/>
  <c r="R233" i="8"/>
  <c r="R234" i="8" s="1"/>
  <c r="R235" i="8" s="1"/>
  <c r="Q233" i="8"/>
  <c r="Q234" i="8" s="1"/>
  <c r="Q235" i="8" s="1"/>
  <c r="P233" i="8"/>
  <c r="O233" i="8"/>
  <c r="N233" i="8"/>
  <c r="M233" i="8"/>
  <c r="L233" i="8"/>
  <c r="K233" i="8"/>
  <c r="J233" i="8"/>
  <c r="I233" i="8"/>
  <c r="H233" i="8"/>
  <c r="G233" i="8"/>
  <c r="F233" i="8"/>
  <c r="E233" i="8"/>
  <c r="D233" i="8"/>
  <c r="C233" i="8"/>
  <c r="W229" i="8"/>
  <c r="V229" i="8"/>
  <c r="V230" i="8" s="1"/>
  <c r="U229" i="8"/>
  <c r="U230" i="8" s="1"/>
  <c r="T229" i="8"/>
  <c r="T230" i="8" s="1"/>
  <c r="S229" i="8"/>
  <c r="S230" i="8" s="1"/>
  <c r="R229" i="8"/>
  <c r="R230" i="8" s="1"/>
  <c r="Q229" i="8"/>
  <c r="Q230" i="8" s="1"/>
  <c r="O229" i="8"/>
  <c r="N229" i="8"/>
  <c r="M229" i="8"/>
  <c r="L229" i="8"/>
  <c r="K229" i="8"/>
  <c r="J229" i="8"/>
  <c r="I229" i="8"/>
  <c r="H229" i="8"/>
  <c r="G229" i="8"/>
  <c r="F229" i="8"/>
  <c r="E229" i="8"/>
  <c r="D229" i="8"/>
  <c r="C229" i="8"/>
  <c r="W222" i="8"/>
  <c r="V222" i="8"/>
  <c r="V223" i="8" s="1"/>
  <c r="U222" i="8"/>
  <c r="U223" i="8" s="1"/>
  <c r="T222" i="8"/>
  <c r="T223" i="8" s="1"/>
  <c r="S222" i="8"/>
  <c r="S223" i="8" s="1"/>
  <c r="R222" i="8"/>
  <c r="R223" i="8" s="1"/>
  <c r="Q222" i="8"/>
  <c r="Q223" i="8" s="1"/>
  <c r="O222" i="8"/>
  <c r="N222" i="8"/>
  <c r="M222" i="8"/>
  <c r="L222" i="8"/>
  <c r="K222" i="8"/>
  <c r="J222" i="8"/>
  <c r="I222" i="8"/>
  <c r="H222" i="8"/>
  <c r="G222" i="8"/>
  <c r="F222" i="8"/>
  <c r="E222" i="8"/>
  <c r="D222" i="8"/>
  <c r="C222" i="8"/>
  <c r="W215" i="8"/>
  <c r="V215" i="8"/>
  <c r="V216" i="8" s="1"/>
  <c r="U215" i="8"/>
  <c r="U216" i="8" s="1"/>
  <c r="T215" i="8"/>
  <c r="T216" i="8" s="1"/>
  <c r="S215" i="8"/>
  <c r="S216" i="8" s="1"/>
  <c r="R215" i="8"/>
  <c r="R216" i="8" s="1"/>
  <c r="Q215" i="8"/>
  <c r="Q216" i="8" s="1"/>
  <c r="O215" i="8"/>
  <c r="N215" i="8"/>
  <c r="M215" i="8"/>
  <c r="L215" i="8"/>
  <c r="K215" i="8"/>
  <c r="J215" i="8"/>
  <c r="I215" i="8"/>
  <c r="H215" i="8"/>
  <c r="G215" i="8"/>
  <c r="F215" i="8"/>
  <c r="E215" i="8"/>
  <c r="D215" i="8"/>
  <c r="C215" i="8"/>
  <c r="W208" i="8"/>
  <c r="V208" i="8"/>
  <c r="V209" i="8" s="1"/>
  <c r="U208" i="8"/>
  <c r="U209" i="8" s="1"/>
  <c r="T208" i="8"/>
  <c r="T209" i="8" s="1"/>
  <c r="S208" i="8"/>
  <c r="S209" i="8" s="1"/>
  <c r="R208" i="8"/>
  <c r="R209" i="8" s="1"/>
  <c r="Q208" i="8"/>
  <c r="Q209" i="8" s="1"/>
  <c r="W201" i="8"/>
  <c r="V201" i="8"/>
  <c r="V202" i="8" s="1"/>
  <c r="U201" i="8"/>
  <c r="U202" i="8" s="1"/>
  <c r="T201" i="8"/>
  <c r="T202" i="8" s="1"/>
  <c r="S201" i="8"/>
  <c r="S202" i="8" s="1"/>
  <c r="R201" i="8"/>
  <c r="R202" i="8" s="1"/>
  <c r="Q201" i="8"/>
  <c r="Q202" i="8" s="1"/>
  <c r="W194" i="8"/>
  <c r="V194" i="8"/>
  <c r="V195" i="8" s="1"/>
  <c r="U194" i="8"/>
  <c r="U195" i="8" s="1"/>
  <c r="T194" i="8"/>
  <c r="T195" i="8" s="1"/>
  <c r="S194" i="8"/>
  <c r="S195" i="8" s="1"/>
  <c r="R194" i="8"/>
  <c r="R195" i="8" s="1"/>
  <c r="Q194" i="8"/>
  <c r="Q195" i="8" s="1"/>
  <c r="W187" i="8"/>
  <c r="V187" i="8"/>
  <c r="V188" i="8" s="1"/>
  <c r="U187" i="8"/>
  <c r="U188" i="8" s="1"/>
  <c r="T187" i="8"/>
  <c r="T188" i="8" s="1"/>
  <c r="S187" i="8"/>
  <c r="S188" i="8" s="1"/>
  <c r="R187" i="8"/>
  <c r="R188" i="8" s="1"/>
  <c r="Q187" i="8"/>
  <c r="Q188" i="8" s="1"/>
  <c r="O187" i="8"/>
  <c r="N187" i="8"/>
  <c r="M187" i="8"/>
  <c r="L187" i="8"/>
  <c r="K187" i="8"/>
  <c r="J187" i="8"/>
  <c r="I187" i="8"/>
  <c r="H187" i="8"/>
  <c r="G187" i="8"/>
  <c r="F187" i="8"/>
  <c r="E187" i="8"/>
  <c r="D187" i="8"/>
  <c r="C187" i="8"/>
  <c r="W180" i="8"/>
  <c r="V180" i="8"/>
  <c r="V181" i="8" s="1"/>
  <c r="U180" i="8"/>
  <c r="U181" i="8" s="1"/>
  <c r="T180" i="8"/>
  <c r="T181" i="8" s="1"/>
  <c r="S180" i="8"/>
  <c r="S181" i="8" s="1"/>
  <c r="R180" i="8"/>
  <c r="R181" i="8" s="1"/>
  <c r="Q180" i="8"/>
  <c r="Q181" i="8" s="1"/>
  <c r="W173" i="8"/>
  <c r="V173" i="8"/>
  <c r="V174" i="8" s="1"/>
  <c r="U173" i="8"/>
  <c r="U174" i="8" s="1"/>
  <c r="T173" i="8"/>
  <c r="T174" i="8" s="1"/>
  <c r="S173" i="8"/>
  <c r="S174" i="8" s="1"/>
  <c r="R173" i="8"/>
  <c r="R174" i="8" s="1"/>
  <c r="Q173" i="8"/>
  <c r="Q174" i="8" s="1"/>
  <c r="W166" i="8"/>
  <c r="V166" i="8"/>
  <c r="V167" i="8" s="1"/>
  <c r="U166" i="8"/>
  <c r="U167" i="8" s="1"/>
  <c r="T166" i="8"/>
  <c r="T167" i="8" s="1"/>
  <c r="S166" i="8"/>
  <c r="S167" i="8" s="1"/>
  <c r="R166" i="8"/>
  <c r="R167" i="8" s="1"/>
  <c r="Q166" i="8"/>
  <c r="Q167" i="8" s="1"/>
  <c r="O166" i="8"/>
  <c r="N166" i="8"/>
  <c r="M166" i="8"/>
  <c r="L166" i="8"/>
  <c r="K166" i="8"/>
  <c r="J166" i="8"/>
  <c r="I166" i="8"/>
  <c r="H166" i="8"/>
  <c r="G166" i="8"/>
  <c r="F166" i="8"/>
  <c r="E166" i="8"/>
  <c r="D166" i="8"/>
  <c r="C166" i="8"/>
  <c r="W159" i="8"/>
  <c r="V159" i="8"/>
  <c r="V160" i="8" s="1"/>
  <c r="U159" i="8"/>
  <c r="U160" i="8" s="1"/>
  <c r="T159" i="8"/>
  <c r="T160" i="8" s="1"/>
  <c r="S159" i="8"/>
  <c r="S160" i="8" s="1"/>
  <c r="R159" i="8"/>
  <c r="R160" i="8" s="1"/>
  <c r="Q159" i="8"/>
  <c r="Q160" i="8" s="1"/>
  <c r="O159" i="8"/>
  <c r="N159" i="8"/>
  <c r="M159" i="8"/>
  <c r="L159" i="8"/>
  <c r="K159" i="8"/>
  <c r="J159" i="8"/>
  <c r="I159" i="8"/>
  <c r="H159" i="8"/>
  <c r="G159" i="8"/>
  <c r="F159" i="8"/>
  <c r="E159" i="8"/>
  <c r="D159" i="8"/>
  <c r="C159" i="8"/>
  <c r="W152" i="8"/>
  <c r="V152" i="8"/>
  <c r="V153" i="8" s="1"/>
  <c r="U152" i="8"/>
  <c r="U153" i="8" s="1"/>
  <c r="T152" i="8"/>
  <c r="T153" i="8" s="1"/>
  <c r="S152" i="8"/>
  <c r="S153" i="8" s="1"/>
  <c r="R152" i="8"/>
  <c r="R153" i="8" s="1"/>
  <c r="Q152" i="8"/>
  <c r="Q153" i="8" s="1"/>
  <c r="O152" i="8"/>
  <c r="N152" i="8"/>
  <c r="M152" i="8"/>
  <c r="L152" i="8"/>
  <c r="K152" i="8"/>
  <c r="J152" i="8"/>
  <c r="I152" i="8"/>
  <c r="H152" i="8"/>
  <c r="G152" i="8"/>
  <c r="F152" i="8"/>
  <c r="E152" i="8"/>
  <c r="D152" i="8"/>
  <c r="C152" i="8"/>
  <c r="W145" i="8"/>
  <c r="V145" i="8"/>
  <c r="U145" i="8"/>
  <c r="T145" i="8"/>
  <c r="S145" i="8"/>
  <c r="R145" i="8"/>
  <c r="Q145" i="8"/>
  <c r="W138" i="8"/>
  <c r="V138" i="8"/>
  <c r="V139" i="8" s="1"/>
  <c r="U138" i="8"/>
  <c r="U139" i="8" s="1"/>
  <c r="T138" i="8"/>
  <c r="T139" i="8" s="1"/>
  <c r="S138" i="8"/>
  <c r="S139" i="8" s="1"/>
  <c r="R138" i="8"/>
  <c r="R139" i="8" s="1"/>
  <c r="Q138" i="8"/>
  <c r="Q139" i="8" s="1"/>
  <c r="O138" i="8"/>
  <c r="N138" i="8"/>
  <c r="M138" i="8"/>
  <c r="L138" i="8"/>
  <c r="K138" i="8"/>
  <c r="J138" i="8"/>
  <c r="I138" i="8"/>
  <c r="H138" i="8"/>
  <c r="G138" i="8"/>
  <c r="F138" i="8"/>
  <c r="E138" i="8"/>
  <c r="D138" i="8"/>
  <c r="C138" i="8"/>
  <c r="W131" i="8"/>
  <c r="V131" i="8"/>
  <c r="U131" i="8"/>
  <c r="T131" i="8"/>
  <c r="S131" i="8"/>
  <c r="R131" i="8"/>
  <c r="Q131" i="8"/>
  <c r="O131" i="8"/>
  <c r="N131" i="8"/>
  <c r="M131" i="8"/>
  <c r="L131" i="8"/>
  <c r="K131" i="8"/>
  <c r="J131" i="8"/>
  <c r="I131" i="8"/>
  <c r="H131" i="8"/>
  <c r="G131" i="8"/>
  <c r="F131" i="8"/>
  <c r="E131" i="8"/>
  <c r="D131" i="8"/>
  <c r="W124" i="8"/>
  <c r="V124" i="8"/>
  <c r="U124" i="8"/>
  <c r="T124" i="8"/>
  <c r="S124" i="8"/>
  <c r="R124" i="8"/>
  <c r="Q124" i="8"/>
  <c r="O124" i="8"/>
  <c r="N124" i="8"/>
  <c r="M124" i="8"/>
  <c r="L124" i="8"/>
  <c r="K124" i="8"/>
  <c r="J124" i="8"/>
  <c r="I124" i="8"/>
  <c r="H124" i="8"/>
  <c r="G124" i="8"/>
  <c r="F124" i="8"/>
  <c r="E124" i="8"/>
  <c r="D124" i="8"/>
  <c r="W117" i="8"/>
  <c r="V117" i="8"/>
  <c r="U117" i="8"/>
  <c r="T117" i="8"/>
  <c r="S117" i="8"/>
  <c r="R117" i="8"/>
  <c r="Q117" i="8"/>
  <c r="O117" i="8"/>
  <c r="N117" i="8"/>
  <c r="M117" i="8"/>
  <c r="L117" i="8"/>
  <c r="K117" i="8"/>
  <c r="J117" i="8"/>
  <c r="I117" i="8"/>
  <c r="H117" i="8"/>
  <c r="G117" i="8"/>
  <c r="F117" i="8"/>
  <c r="E117" i="8"/>
  <c r="D117" i="8"/>
  <c r="C117" i="8"/>
  <c r="W110" i="8"/>
  <c r="V110" i="8"/>
  <c r="U110" i="8"/>
  <c r="T110" i="8"/>
  <c r="S110" i="8"/>
  <c r="R110" i="8"/>
  <c r="Q110" i="8"/>
  <c r="O110" i="8"/>
  <c r="N110" i="8"/>
  <c r="M110" i="8"/>
  <c r="L110" i="8"/>
  <c r="K110" i="8"/>
  <c r="J110" i="8"/>
  <c r="I110" i="8"/>
  <c r="H110" i="8"/>
  <c r="G110" i="8"/>
  <c r="F110" i="8"/>
  <c r="E110" i="8"/>
  <c r="D110" i="8"/>
  <c r="C110" i="8"/>
  <c r="W105" i="8"/>
  <c r="U175" i="11"/>
  <c r="U173" i="11"/>
  <c r="T175" i="11"/>
  <c r="T173" i="11"/>
  <c r="S175" i="11"/>
  <c r="S173" i="11"/>
  <c r="R175" i="11"/>
  <c r="R173" i="11"/>
  <c r="Q175" i="11"/>
  <c r="Q173" i="11"/>
  <c r="P175" i="11"/>
  <c r="P173" i="11"/>
  <c r="O175" i="11"/>
  <c r="O173" i="11"/>
  <c r="N175" i="11"/>
  <c r="N173" i="11"/>
  <c r="M175" i="11"/>
  <c r="M173" i="11"/>
  <c r="L175" i="11"/>
  <c r="L173" i="11"/>
  <c r="K175" i="11"/>
  <c r="K173" i="11"/>
  <c r="J175" i="11"/>
  <c r="J173" i="11"/>
  <c r="I175" i="11"/>
  <c r="I173" i="11"/>
  <c r="H175" i="11"/>
  <c r="H173" i="11"/>
  <c r="G175" i="11"/>
  <c r="G173" i="11"/>
  <c r="F175" i="11"/>
  <c r="F173" i="11"/>
  <c r="E175" i="11"/>
  <c r="E173" i="11"/>
  <c r="D175" i="11"/>
  <c r="D173" i="11"/>
  <c r="C175" i="11"/>
  <c r="D216" i="11" s="1"/>
  <c r="C173" i="11"/>
  <c r="B173" i="11"/>
  <c r="C213" i="11" s="1"/>
  <c r="C247" i="11"/>
  <c r="C245" i="11"/>
  <c r="C244" i="11"/>
  <c r="C243" i="11"/>
  <c r="E242" i="11"/>
  <c r="C242" i="11"/>
  <c r="D236" i="11"/>
  <c r="C236" i="11"/>
  <c r="D235" i="11"/>
  <c r="C235" i="11"/>
  <c r="C174" i="11" l="1"/>
  <c r="D213" i="11"/>
  <c r="G176" i="11"/>
  <c r="H216" i="11"/>
  <c r="D174" i="11"/>
  <c r="E213" i="11"/>
  <c r="H174" i="11"/>
  <c r="I213" i="11"/>
  <c r="L174" i="11"/>
  <c r="M213" i="11"/>
  <c r="O174" i="11"/>
  <c r="P213" i="11"/>
  <c r="D176" i="11"/>
  <c r="E216" i="11"/>
  <c r="L176" i="11"/>
  <c r="M216" i="11"/>
  <c r="E174" i="11"/>
  <c r="F213" i="11"/>
  <c r="M174" i="11"/>
  <c r="N213" i="11"/>
  <c r="G174" i="11"/>
  <c r="H213" i="11"/>
  <c r="K176" i="11"/>
  <c r="L216" i="11"/>
  <c r="I174" i="11"/>
  <c r="J213" i="11"/>
  <c r="E176" i="11"/>
  <c r="F216" i="11"/>
  <c r="I176" i="11"/>
  <c r="J216" i="11"/>
  <c r="M176" i="11"/>
  <c r="N216" i="11"/>
  <c r="K174" i="11"/>
  <c r="L213" i="11"/>
  <c r="O176" i="11"/>
  <c r="P216" i="11"/>
  <c r="F174" i="11"/>
  <c r="G213" i="11"/>
  <c r="J174" i="11"/>
  <c r="K213" i="11"/>
  <c r="N174" i="11"/>
  <c r="O213" i="11"/>
  <c r="H176" i="11"/>
  <c r="I216" i="11"/>
  <c r="F176" i="11"/>
  <c r="G216" i="11"/>
  <c r="J176" i="11"/>
  <c r="K216" i="11"/>
  <c r="N176" i="11"/>
  <c r="O216" i="11"/>
  <c r="B182" i="11"/>
  <c r="B183" i="11"/>
  <c r="C176" i="11"/>
  <c r="B186" i="11"/>
  <c r="B184" i="11"/>
  <c r="B174" i="11"/>
  <c r="B185" i="11"/>
  <c r="B181" i="11"/>
  <c r="V175" i="11"/>
  <c r="W217" i="11" s="1"/>
  <c r="W139" i="8"/>
  <c r="Q239" i="8"/>
  <c r="Q240" i="8" s="1"/>
  <c r="T239" i="8"/>
  <c r="T240" i="8" s="1"/>
  <c r="U239" i="8"/>
  <c r="U240" i="8" s="1"/>
  <c r="V239" i="8"/>
  <c r="V240" i="8" s="1"/>
  <c r="R239" i="8"/>
  <c r="R240" i="8" s="1"/>
  <c r="S239" i="8"/>
  <c r="S240" i="8" s="1"/>
  <c r="O189" i="11"/>
  <c r="L189" i="11"/>
  <c r="J189" i="11"/>
  <c r="I189" i="11"/>
  <c r="E189" i="11"/>
  <c r="P218" i="11" l="1"/>
  <c r="P217" i="11"/>
  <c r="U217" i="11" s="1"/>
  <c r="P214" i="11"/>
  <c r="P215" i="11"/>
  <c r="F189" i="11"/>
  <c r="P189" i="11"/>
  <c r="G189" i="11"/>
  <c r="C189" i="11"/>
  <c r="H189" i="11"/>
  <c r="K189" i="11"/>
  <c r="M189" i="11"/>
  <c r="D189" i="11"/>
  <c r="N189" i="11"/>
  <c r="B145" i="11"/>
  <c r="B146" i="11"/>
  <c r="V176" i="11"/>
  <c r="V217" i="11" l="1"/>
  <c r="R217" i="11"/>
  <c r="Q217" i="11"/>
  <c r="S217" i="11"/>
  <c r="T217" i="11"/>
  <c r="P191" i="11"/>
  <c r="P190" i="11"/>
  <c r="V138" i="11"/>
  <c r="V134" i="11"/>
  <c r="V130" i="11"/>
  <c r="V126" i="11"/>
  <c r="B37" i="3"/>
  <c r="V118" i="11" l="1"/>
  <c r="V190" i="1"/>
  <c r="V192" i="1" s="1"/>
  <c r="U190" i="1"/>
  <c r="U192" i="1" s="1"/>
  <c r="T190" i="1"/>
  <c r="T192" i="1" s="1"/>
  <c r="S190" i="1"/>
  <c r="S192" i="1" s="1"/>
  <c r="R190" i="1"/>
  <c r="R192" i="1" s="1"/>
  <c r="Q190" i="1"/>
  <c r="Q192" i="1" s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C190" i="1"/>
  <c r="V183" i="1"/>
  <c r="V185" i="1" s="1"/>
  <c r="U183" i="1"/>
  <c r="U185" i="1" s="1"/>
  <c r="T183" i="1"/>
  <c r="T185" i="1" s="1"/>
  <c r="S183" i="1"/>
  <c r="S185" i="1" s="1"/>
  <c r="R183" i="1"/>
  <c r="R185" i="1" s="1"/>
  <c r="Q183" i="1"/>
  <c r="Q185" i="1" s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C183" i="1"/>
  <c r="C176" i="1"/>
  <c r="C178" i="1" s="1"/>
  <c r="D176" i="1"/>
  <c r="D178" i="1" s="1"/>
  <c r="E176" i="1"/>
  <c r="E178" i="1" s="1"/>
  <c r="F176" i="1"/>
  <c r="F178" i="1" s="1"/>
  <c r="G176" i="1"/>
  <c r="G178" i="1" s="1"/>
  <c r="H176" i="1"/>
  <c r="H178" i="1" s="1"/>
  <c r="I176" i="1"/>
  <c r="I178" i="1" s="1"/>
  <c r="J176" i="1"/>
  <c r="J178" i="1" s="1"/>
  <c r="K176" i="1"/>
  <c r="K178" i="1" s="1"/>
  <c r="L176" i="1"/>
  <c r="L178" i="1" s="1"/>
  <c r="M176" i="1"/>
  <c r="M178" i="1" s="1"/>
  <c r="N176" i="1"/>
  <c r="N178" i="1" s="1"/>
  <c r="O176" i="1"/>
  <c r="O178" i="1" s="1"/>
  <c r="P176" i="1"/>
  <c r="P178" i="1" s="1"/>
  <c r="Q176" i="1"/>
  <c r="Q178" i="1" s="1"/>
  <c r="V176" i="1"/>
  <c r="V178" i="1" s="1"/>
  <c r="U176" i="1"/>
  <c r="U178" i="1" s="1"/>
  <c r="T176" i="1"/>
  <c r="T178" i="1" s="1"/>
  <c r="S176" i="1"/>
  <c r="S178" i="1" s="1"/>
  <c r="R176" i="1"/>
  <c r="R178" i="1" s="1"/>
  <c r="R169" i="1"/>
  <c r="R171" i="1" s="1"/>
  <c r="S169" i="1"/>
  <c r="S171" i="1" s="1"/>
  <c r="T169" i="1"/>
  <c r="T171" i="1" s="1"/>
  <c r="U169" i="1"/>
  <c r="U171" i="1" s="1"/>
  <c r="V169" i="1"/>
  <c r="V171" i="1" s="1"/>
  <c r="Q169" i="1"/>
  <c r="Q171" i="1" s="1"/>
  <c r="P169" i="1"/>
  <c r="P171" i="1" s="1"/>
  <c r="O169" i="1"/>
  <c r="N169" i="1"/>
  <c r="N171" i="1" s="1"/>
  <c r="M169" i="1"/>
  <c r="M171" i="1" s="1"/>
  <c r="L169" i="1"/>
  <c r="L171" i="1" s="1"/>
  <c r="K169" i="1"/>
  <c r="K171" i="1" s="1"/>
  <c r="J169" i="1"/>
  <c r="J171" i="1" s="1"/>
  <c r="I169" i="1"/>
  <c r="I171" i="1" s="1"/>
  <c r="H169" i="1"/>
  <c r="H171" i="1" s="1"/>
  <c r="G169" i="1"/>
  <c r="G171" i="1" s="1"/>
  <c r="F169" i="1"/>
  <c r="F171" i="1" s="1"/>
  <c r="E169" i="1"/>
  <c r="E171" i="1" s="1"/>
  <c r="D169" i="1"/>
  <c r="D171" i="1" s="1"/>
  <c r="C169" i="1"/>
  <c r="C171" i="1" s="1"/>
  <c r="C161" i="1"/>
  <c r="C163" i="1" s="1"/>
  <c r="D161" i="1"/>
  <c r="D163" i="1" s="1"/>
  <c r="E161" i="1"/>
  <c r="E163" i="1" s="1"/>
  <c r="F161" i="1"/>
  <c r="F163" i="1" s="1"/>
  <c r="G161" i="1"/>
  <c r="G163" i="1" s="1"/>
  <c r="H161" i="1"/>
  <c r="H163" i="1" s="1"/>
  <c r="I161" i="1"/>
  <c r="I163" i="1" s="1"/>
  <c r="J161" i="1"/>
  <c r="J163" i="1" s="1"/>
  <c r="K161" i="1"/>
  <c r="K163" i="1" s="1"/>
  <c r="L161" i="1"/>
  <c r="L163" i="1" s="1"/>
  <c r="M161" i="1"/>
  <c r="M163" i="1" s="1"/>
  <c r="N161" i="1"/>
  <c r="N163" i="1" s="1"/>
  <c r="O161" i="1"/>
  <c r="O163" i="1" s="1"/>
  <c r="P161" i="1"/>
  <c r="P163" i="1" s="1"/>
  <c r="Q161" i="1"/>
  <c r="Q163" i="1" s="1"/>
  <c r="R161" i="1"/>
  <c r="R163" i="1" s="1"/>
  <c r="S161" i="1"/>
  <c r="S163" i="1" s="1"/>
  <c r="T161" i="1"/>
  <c r="T163" i="1" s="1"/>
  <c r="U161" i="1"/>
  <c r="U163" i="1" s="1"/>
  <c r="V161" i="1"/>
  <c r="V163" i="1" s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C154" i="1"/>
  <c r="V114" i="11"/>
  <c r="V147" i="1"/>
  <c r="U147" i="1"/>
  <c r="T147" i="1"/>
  <c r="S147" i="1"/>
  <c r="R147" i="1"/>
  <c r="Q147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C147" i="1"/>
  <c r="V110" i="11"/>
  <c r="V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C140" i="1"/>
  <c r="V106" i="11"/>
  <c r="V133" i="1"/>
  <c r="U133" i="1"/>
  <c r="T133" i="1"/>
  <c r="S133" i="1"/>
  <c r="R133" i="1"/>
  <c r="Q133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C133" i="1"/>
  <c r="V122" i="11" l="1"/>
  <c r="W169" i="1"/>
  <c r="O171" i="1"/>
  <c r="V126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C126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C119" i="1"/>
  <c r="V98" i="11" l="1"/>
  <c r="V102" i="11"/>
  <c r="V121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C121" i="1"/>
  <c r="V94" i="11" l="1"/>
  <c r="V90" i="11"/>
  <c r="V86" i="11"/>
  <c r="V82" i="11"/>
  <c r="V78" i="11"/>
  <c r="W190" i="1" l="1"/>
  <c r="X190" i="1" s="1"/>
  <c r="W189" i="1"/>
  <c r="W183" i="1"/>
  <c r="X183" i="1" s="1"/>
  <c r="W182" i="1"/>
  <c r="W176" i="1"/>
  <c r="X176" i="1" s="1"/>
  <c r="W175" i="1"/>
  <c r="X169" i="1"/>
  <c r="W168" i="1"/>
  <c r="W161" i="1"/>
  <c r="X161" i="1" s="1"/>
  <c r="W160" i="1"/>
  <c r="W154" i="1"/>
  <c r="X154" i="1" s="1"/>
  <c r="W153" i="1"/>
  <c r="W147" i="1"/>
  <c r="X147" i="1" s="1"/>
  <c r="W146" i="1"/>
  <c r="W140" i="1"/>
  <c r="X140" i="1" s="1"/>
  <c r="W139" i="1"/>
  <c r="W133" i="1"/>
  <c r="X133" i="1" s="1"/>
  <c r="W132" i="1"/>
  <c r="W126" i="1"/>
  <c r="W125" i="1"/>
  <c r="W119" i="1"/>
  <c r="X119" i="1" s="1"/>
  <c r="W118" i="1"/>
  <c r="W111" i="1"/>
  <c r="W103" i="1"/>
  <c r="W96" i="1"/>
  <c r="W89" i="1"/>
  <c r="W81" i="1"/>
  <c r="W74" i="1"/>
  <c r="V73" i="11" s="1"/>
  <c r="V75" i="11" s="1"/>
  <c r="V76" i="11" s="1"/>
  <c r="V70" i="11"/>
  <c r="X160" i="1" l="1"/>
  <c r="W121" i="11" s="1"/>
  <c r="W123" i="11" s="1"/>
  <c r="C158" i="11" s="1"/>
  <c r="D158" i="11" s="1"/>
  <c r="V121" i="11"/>
  <c r="V123" i="11" s="1"/>
  <c r="V124" i="11" s="1"/>
  <c r="X189" i="1"/>
  <c r="W137" i="11" s="1"/>
  <c r="W139" i="11" s="1"/>
  <c r="C162" i="11" s="1"/>
  <c r="V137" i="11"/>
  <c r="X96" i="1"/>
  <c r="W85" i="11" s="1"/>
  <c r="W87" i="11" s="1"/>
  <c r="C149" i="11" s="1"/>
  <c r="D149" i="11" s="1"/>
  <c r="V85" i="11"/>
  <c r="V87" i="11" s="1"/>
  <c r="V88" i="11" s="1"/>
  <c r="X103" i="1"/>
  <c r="W89" i="11" s="1"/>
  <c r="W91" i="11" s="1"/>
  <c r="C150" i="11" s="1"/>
  <c r="D150" i="11" s="1"/>
  <c r="V89" i="11"/>
  <c r="V91" i="11" s="1"/>
  <c r="V92" i="11" s="1"/>
  <c r="X139" i="1"/>
  <c r="W109" i="11" s="1"/>
  <c r="W111" i="11" s="1"/>
  <c r="C155" i="11" s="1"/>
  <c r="D155" i="11" s="1"/>
  <c r="V109" i="11"/>
  <c r="V111" i="11" s="1"/>
  <c r="V112" i="11" s="1"/>
  <c r="X168" i="1"/>
  <c r="W125" i="11" s="1"/>
  <c r="W127" i="11" s="1"/>
  <c r="V125" i="11"/>
  <c r="V127" i="11" s="1"/>
  <c r="V128" i="11" s="1"/>
  <c r="X132" i="1"/>
  <c r="W105" i="11" s="1"/>
  <c r="W107" i="11" s="1"/>
  <c r="C154" i="11" s="1"/>
  <c r="D154" i="11" s="1"/>
  <c r="V105" i="11"/>
  <c r="V107" i="11" s="1"/>
  <c r="V108" i="11" s="1"/>
  <c r="X146" i="1"/>
  <c r="W113" i="11" s="1"/>
  <c r="W115" i="11" s="1"/>
  <c r="C156" i="11" s="1"/>
  <c r="D156" i="11" s="1"/>
  <c r="V113" i="11"/>
  <c r="V115" i="11" s="1"/>
  <c r="V116" i="11" s="1"/>
  <c r="X175" i="1"/>
  <c r="W129" i="11" s="1"/>
  <c r="W131" i="11" s="1"/>
  <c r="C160" i="11" s="1"/>
  <c r="D160" i="11" s="1"/>
  <c r="V129" i="11"/>
  <c r="V131" i="11" s="1"/>
  <c r="V132" i="11" s="1"/>
  <c r="X89" i="1"/>
  <c r="W81" i="11" s="1"/>
  <c r="W83" i="11" s="1"/>
  <c r="V81" i="11"/>
  <c r="V83" i="11" s="1"/>
  <c r="V84" i="11" s="1"/>
  <c r="X111" i="1"/>
  <c r="W93" i="11" s="1"/>
  <c r="W95" i="11" s="1"/>
  <c r="V93" i="11"/>
  <c r="V95" i="11" s="1"/>
  <c r="W196" i="11" s="1"/>
  <c r="S196" i="11" s="1"/>
  <c r="X81" i="1"/>
  <c r="W77" i="11" s="1"/>
  <c r="W79" i="11" s="1"/>
  <c r="C147" i="11" s="1"/>
  <c r="D147" i="11" s="1"/>
  <c r="V77" i="11"/>
  <c r="V79" i="11" s="1"/>
  <c r="V80" i="11" s="1"/>
  <c r="X118" i="1"/>
  <c r="W97" i="11" s="1"/>
  <c r="W99" i="11" s="1"/>
  <c r="V97" i="11"/>
  <c r="V99" i="11" s="1"/>
  <c r="X125" i="1"/>
  <c r="W101" i="11" s="1"/>
  <c r="W103" i="11" s="1"/>
  <c r="V101" i="11"/>
  <c r="V103" i="11" s="1"/>
  <c r="X153" i="1"/>
  <c r="W117" i="11" s="1"/>
  <c r="W119" i="11" s="1"/>
  <c r="C157" i="11" s="1"/>
  <c r="D157" i="11" s="1"/>
  <c r="V117" i="11"/>
  <c r="V119" i="11" s="1"/>
  <c r="V120" i="11" s="1"/>
  <c r="X182" i="1"/>
  <c r="W133" i="11" s="1"/>
  <c r="W135" i="11" s="1"/>
  <c r="C161" i="11" s="1"/>
  <c r="V133" i="11"/>
  <c r="X74" i="1"/>
  <c r="W73" i="11" s="1"/>
  <c r="W75" i="11" s="1"/>
  <c r="C146" i="11" s="1"/>
  <c r="D146" i="11" s="1"/>
  <c r="X126" i="1"/>
  <c r="X128" i="1" s="1"/>
  <c r="W128" i="1"/>
  <c r="W67" i="1"/>
  <c r="V69" i="11" s="1"/>
  <c r="V71" i="11" s="1"/>
  <c r="V72" i="11" s="1"/>
  <c r="U196" i="11" l="1"/>
  <c r="V196" i="11"/>
  <c r="Q196" i="11"/>
  <c r="W193" i="11"/>
  <c r="V193" i="11" s="1"/>
  <c r="R196" i="11"/>
  <c r="W202" i="11"/>
  <c r="V104" i="11"/>
  <c r="C151" i="11"/>
  <c r="D151" i="11" s="1"/>
  <c r="W197" i="11"/>
  <c r="C153" i="11"/>
  <c r="D153" i="11" s="1"/>
  <c r="W203" i="11"/>
  <c r="T196" i="11"/>
  <c r="W206" i="11"/>
  <c r="C159" i="11"/>
  <c r="D159" i="11" s="1"/>
  <c r="C148" i="11"/>
  <c r="D148" i="11" s="1"/>
  <c r="W194" i="11"/>
  <c r="W199" i="11"/>
  <c r="V96" i="11"/>
  <c r="C152" i="11"/>
  <c r="D152" i="11" s="1"/>
  <c r="W200" i="11"/>
  <c r="R193" i="11"/>
  <c r="X67" i="1"/>
  <c r="W69" i="11" s="1"/>
  <c r="W71" i="11" s="1"/>
  <c r="W190" i="11"/>
  <c r="C42" i="9"/>
  <c r="D42" i="9"/>
  <c r="E42" i="9"/>
  <c r="F42" i="9"/>
  <c r="G42" i="9"/>
  <c r="H42" i="9"/>
  <c r="I42" i="9"/>
  <c r="J42" i="9"/>
  <c r="K42" i="9"/>
  <c r="L42" i="9"/>
  <c r="M42" i="9"/>
  <c r="N42" i="9"/>
  <c r="C43" i="9"/>
  <c r="D43" i="9"/>
  <c r="E43" i="9"/>
  <c r="F43" i="9"/>
  <c r="G43" i="9"/>
  <c r="H43" i="9"/>
  <c r="I43" i="9"/>
  <c r="J43" i="9"/>
  <c r="K43" i="9"/>
  <c r="L43" i="9"/>
  <c r="M43" i="9"/>
  <c r="N43" i="9"/>
  <c r="C44" i="9"/>
  <c r="D44" i="9"/>
  <c r="E44" i="9"/>
  <c r="F44" i="9"/>
  <c r="G44" i="9"/>
  <c r="H44" i="9"/>
  <c r="I44" i="9"/>
  <c r="J44" i="9"/>
  <c r="K44" i="9"/>
  <c r="L44" i="9"/>
  <c r="M44" i="9"/>
  <c r="N44" i="9"/>
  <c r="C45" i="9"/>
  <c r="D45" i="9"/>
  <c r="E45" i="9"/>
  <c r="F45" i="9"/>
  <c r="G45" i="9"/>
  <c r="H45" i="9"/>
  <c r="I45" i="9"/>
  <c r="J45" i="9"/>
  <c r="K45" i="9"/>
  <c r="L45" i="9"/>
  <c r="M45" i="9"/>
  <c r="N45" i="9"/>
  <c r="C46" i="9"/>
  <c r="D46" i="9"/>
  <c r="E46" i="9"/>
  <c r="F46" i="9"/>
  <c r="G46" i="9"/>
  <c r="H46" i="9"/>
  <c r="I46" i="9"/>
  <c r="J46" i="9"/>
  <c r="K46" i="9"/>
  <c r="L46" i="9"/>
  <c r="M46" i="9"/>
  <c r="N46" i="9"/>
  <c r="C48" i="9"/>
  <c r="D86" i="9" s="1"/>
  <c r="D48" i="9"/>
  <c r="E86" i="9" s="1"/>
  <c r="E48" i="9"/>
  <c r="F86" i="9" s="1"/>
  <c r="F48" i="9"/>
  <c r="G86" i="9" s="1"/>
  <c r="G48" i="9"/>
  <c r="H86" i="9" s="1"/>
  <c r="H48" i="9"/>
  <c r="I86" i="9" s="1"/>
  <c r="I48" i="9"/>
  <c r="J86" i="9" s="1"/>
  <c r="J48" i="9"/>
  <c r="K86" i="9" s="1"/>
  <c r="K48" i="9"/>
  <c r="L86" i="9" s="1"/>
  <c r="L48" i="9"/>
  <c r="M86" i="9" s="1"/>
  <c r="M48" i="9"/>
  <c r="N86" i="9" s="1"/>
  <c r="N48" i="9"/>
  <c r="O86" i="9" s="1"/>
  <c r="C49" i="9"/>
  <c r="D49" i="9"/>
  <c r="E49" i="9"/>
  <c r="F49" i="9"/>
  <c r="G49" i="9"/>
  <c r="H49" i="9"/>
  <c r="I49" i="9"/>
  <c r="J49" i="9"/>
  <c r="K49" i="9"/>
  <c r="L49" i="9"/>
  <c r="M49" i="9"/>
  <c r="N49" i="9"/>
  <c r="C50" i="9"/>
  <c r="D92" i="9" s="1"/>
  <c r="D50" i="9"/>
  <c r="E92" i="9" s="1"/>
  <c r="E50" i="9"/>
  <c r="F92" i="9" s="1"/>
  <c r="F50" i="9"/>
  <c r="G92" i="9" s="1"/>
  <c r="G50" i="9"/>
  <c r="H92" i="9" s="1"/>
  <c r="H50" i="9"/>
  <c r="I92" i="9" s="1"/>
  <c r="I50" i="9"/>
  <c r="J92" i="9" s="1"/>
  <c r="J50" i="9"/>
  <c r="K92" i="9" s="1"/>
  <c r="K50" i="9"/>
  <c r="L92" i="9" s="1"/>
  <c r="L50" i="9"/>
  <c r="M92" i="9" s="1"/>
  <c r="M50" i="9"/>
  <c r="N92" i="9" s="1"/>
  <c r="N50" i="9"/>
  <c r="O92" i="9" s="1"/>
  <c r="C53" i="9"/>
  <c r="D53" i="9"/>
  <c r="E53" i="9"/>
  <c r="F53" i="9"/>
  <c r="G53" i="9"/>
  <c r="H53" i="9"/>
  <c r="I53" i="9"/>
  <c r="J53" i="9"/>
  <c r="K53" i="9"/>
  <c r="L53" i="9"/>
  <c r="M53" i="9"/>
  <c r="N53" i="9"/>
  <c r="C57" i="9"/>
  <c r="D57" i="9"/>
  <c r="E57" i="9"/>
  <c r="F57" i="9"/>
  <c r="G57" i="9"/>
  <c r="H57" i="9"/>
  <c r="I57" i="9"/>
  <c r="J57" i="9"/>
  <c r="K57" i="9"/>
  <c r="L57" i="9"/>
  <c r="M57" i="9"/>
  <c r="N57" i="9"/>
  <c r="C58" i="9"/>
  <c r="D58" i="9"/>
  <c r="E58" i="9"/>
  <c r="F58" i="9"/>
  <c r="G58" i="9"/>
  <c r="H58" i="9"/>
  <c r="I58" i="9"/>
  <c r="J58" i="9"/>
  <c r="K58" i="9"/>
  <c r="L58" i="9"/>
  <c r="M58" i="9"/>
  <c r="N58" i="9"/>
  <c r="C59" i="9"/>
  <c r="D59" i="9"/>
  <c r="E59" i="9"/>
  <c r="F59" i="9"/>
  <c r="G59" i="9"/>
  <c r="H59" i="9"/>
  <c r="I59" i="9"/>
  <c r="J59" i="9"/>
  <c r="K59" i="9"/>
  <c r="L59" i="9"/>
  <c r="M59" i="9"/>
  <c r="N59" i="9"/>
  <c r="C60" i="9"/>
  <c r="D60" i="9"/>
  <c r="E60" i="9"/>
  <c r="F60" i="9"/>
  <c r="G60" i="9"/>
  <c r="H60" i="9"/>
  <c r="I60" i="9"/>
  <c r="J60" i="9"/>
  <c r="K60" i="9"/>
  <c r="L60" i="9"/>
  <c r="M60" i="9"/>
  <c r="N60" i="9"/>
  <c r="O60" i="9"/>
  <c r="C61" i="9"/>
  <c r="D61" i="9"/>
  <c r="E61" i="9"/>
  <c r="F61" i="9"/>
  <c r="G61" i="9"/>
  <c r="H61" i="9"/>
  <c r="I61" i="9"/>
  <c r="J61" i="9"/>
  <c r="K61" i="9"/>
  <c r="L61" i="9"/>
  <c r="M61" i="9"/>
  <c r="N61" i="9"/>
  <c r="O61" i="9"/>
  <c r="C62" i="9"/>
  <c r="D62" i="9"/>
  <c r="E62" i="9"/>
  <c r="F62" i="9"/>
  <c r="G62" i="9"/>
  <c r="H62" i="9"/>
  <c r="I62" i="9"/>
  <c r="J62" i="9"/>
  <c r="K62" i="9"/>
  <c r="L62" i="9"/>
  <c r="M62" i="9"/>
  <c r="N62" i="9"/>
  <c r="O62" i="9"/>
  <c r="C63" i="9"/>
  <c r="D63" i="9"/>
  <c r="E63" i="9"/>
  <c r="F63" i="9"/>
  <c r="G63" i="9"/>
  <c r="H63" i="9"/>
  <c r="I63" i="9"/>
  <c r="J63" i="9"/>
  <c r="K63" i="9"/>
  <c r="L63" i="9"/>
  <c r="M63" i="9"/>
  <c r="N63" i="9"/>
  <c r="O63" i="9"/>
  <c r="C64" i="9"/>
  <c r="D104" i="9" s="1"/>
  <c r="D64" i="9"/>
  <c r="E104" i="9" s="1"/>
  <c r="E64" i="9"/>
  <c r="F104" i="9" s="1"/>
  <c r="F64" i="9"/>
  <c r="G104" i="9" s="1"/>
  <c r="G64" i="9"/>
  <c r="H104" i="9" s="1"/>
  <c r="H64" i="9"/>
  <c r="I104" i="9" s="1"/>
  <c r="I64" i="9"/>
  <c r="J104" i="9" s="1"/>
  <c r="J64" i="9"/>
  <c r="K104" i="9" s="1"/>
  <c r="K64" i="9"/>
  <c r="L104" i="9" s="1"/>
  <c r="L64" i="9"/>
  <c r="M104" i="9" s="1"/>
  <c r="M64" i="9"/>
  <c r="N104" i="9" s="1"/>
  <c r="N64" i="9"/>
  <c r="O104" i="9" s="1"/>
  <c r="O64" i="9"/>
  <c r="P104" i="9" s="1"/>
  <c r="C66" i="9"/>
  <c r="D66" i="9"/>
  <c r="E66" i="9"/>
  <c r="F66" i="9"/>
  <c r="G66" i="9"/>
  <c r="H66" i="9"/>
  <c r="I66" i="9"/>
  <c r="J66" i="9"/>
  <c r="K66" i="9"/>
  <c r="L66" i="9"/>
  <c r="M66" i="9"/>
  <c r="N66" i="9"/>
  <c r="O66" i="9"/>
  <c r="C68" i="9"/>
  <c r="D68" i="9"/>
  <c r="E68" i="9"/>
  <c r="F68" i="9"/>
  <c r="G68" i="9"/>
  <c r="H68" i="9"/>
  <c r="I68" i="9"/>
  <c r="J68" i="9"/>
  <c r="K68" i="9"/>
  <c r="L68" i="9"/>
  <c r="M68" i="9"/>
  <c r="N68" i="9"/>
  <c r="C70" i="9"/>
  <c r="D70" i="9"/>
  <c r="E70" i="9"/>
  <c r="F70" i="9"/>
  <c r="G70" i="9"/>
  <c r="H70" i="9"/>
  <c r="I70" i="9"/>
  <c r="J70" i="9"/>
  <c r="K70" i="9"/>
  <c r="L70" i="9"/>
  <c r="M70" i="9"/>
  <c r="N70" i="9"/>
  <c r="B43" i="9"/>
  <c r="B44" i="9"/>
  <c r="B45" i="9"/>
  <c r="B46" i="9"/>
  <c r="B48" i="9"/>
  <c r="C86" i="9" s="1"/>
  <c r="B49" i="9"/>
  <c r="B50" i="9"/>
  <c r="C92" i="9" s="1"/>
  <c r="B53" i="9"/>
  <c r="B57" i="9"/>
  <c r="B58" i="9"/>
  <c r="B59" i="9"/>
  <c r="B60" i="9"/>
  <c r="B61" i="9"/>
  <c r="B62" i="9"/>
  <c r="B63" i="9"/>
  <c r="B64" i="9"/>
  <c r="C104" i="9" s="1"/>
  <c r="B66" i="9"/>
  <c r="B68" i="9"/>
  <c r="B70" i="9"/>
  <c r="V43" i="9"/>
  <c r="V44" i="9"/>
  <c r="V45" i="9"/>
  <c r="V73" i="9" s="1"/>
  <c r="V46" i="9"/>
  <c r="V47" i="9"/>
  <c r="V48" i="9"/>
  <c r="V49" i="9"/>
  <c r="V50" i="9"/>
  <c r="V51" i="9"/>
  <c r="V52" i="9"/>
  <c r="V53" i="9"/>
  <c r="V54" i="9"/>
  <c r="V55" i="9"/>
  <c r="V56" i="9"/>
  <c r="V57" i="9"/>
  <c r="V58" i="9"/>
  <c r="V59" i="9"/>
  <c r="V60" i="9"/>
  <c r="V61" i="9"/>
  <c r="V62" i="9"/>
  <c r="V63" i="9"/>
  <c r="V64" i="9"/>
  <c r="V66" i="9"/>
  <c r="V68" i="9"/>
  <c r="V70" i="9"/>
  <c r="V42" i="9"/>
  <c r="B42" i="9"/>
  <c r="B3" i="13" l="1"/>
  <c r="E3" i="13" s="1"/>
  <c r="B4" i="13"/>
  <c r="E4" i="13" s="1"/>
  <c r="B10" i="13"/>
  <c r="E10" i="13" s="1"/>
  <c r="W93" i="9"/>
  <c r="B7" i="13"/>
  <c r="B8" i="13"/>
  <c r="E8" i="13" s="1"/>
  <c r="W87" i="9"/>
  <c r="B5" i="13"/>
  <c r="E5" i="13" s="1"/>
  <c r="W105" i="9"/>
  <c r="B11" i="13"/>
  <c r="E11" i="13" s="1"/>
  <c r="B9" i="13"/>
  <c r="E9" i="13" s="1"/>
  <c r="U193" i="11"/>
  <c r="T193" i="11"/>
  <c r="S193" i="11"/>
  <c r="Q193" i="11"/>
  <c r="N101" i="9"/>
  <c r="F101" i="9"/>
  <c r="L101" i="9"/>
  <c r="D101" i="9"/>
  <c r="W102" i="9"/>
  <c r="P101" i="9"/>
  <c r="P102" i="9" s="1"/>
  <c r="C145" i="11"/>
  <c r="D145" i="11" s="1"/>
  <c r="W191" i="11"/>
  <c r="I98" i="9"/>
  <c r="S199" i="11"/>
  <c r="V199" i="11"/>
  <c r="R199" i="11"/>
  <c r="T199" i="11"/>
  <c r="U199" i="11"/>
  <c r="Q199" i="11"/>
  <c r="S197" i="11"/>
  <c r="R197" i="11"/>
  <c r="V197" i="11"/>
  <c r="T197" i="11"/>
  <c r="Q197" i="11"/>
  <c r="U197" i="11"/>
  <c r="V194" i="11"/>
  <c r="S194" i="11"/>
  <c r="U194" i="11"/>
  <c r="T194" i="11"/>
  <c r="Q194" i="11"/>
  <c r="R194" i="11"/>
  <c r="S200" i="11"/>
  <c r="T200" i="11"/>
  <c r="Q200" i="11"/>
  <c r="V200" i="11"/>
  <c r="R200" i="11"/>
  <c r="U200" i="11"/>
  <c r="J101" i="9"/>
  <c r="V202" i="11"/>
  <c r="T202" i="11"/>
  <c r="R202" i="11"/>
  <c r="S202" i="11"/>
  <c r="U202" i="11"/>
  <c r="Q202" i="11"/>
  <c r="T203" i="11"/>
  <c r="S203" i="11"/>
  <c r="R203" i="11"/>
  <c r="U203" i="11"/>
  <c r="V203" i="11"/>
  <c r="Q203" i="11"/>
  <c r="H101" i="9"/>
  <c r="S206" i="11"/>
  <c r="R206" i="11"/>
  <c r="V206" i="11"/>
  <c r="Q206" i="11"/>
  <c r="T206" i="11"/>
  <c r="U206" i="11"/>
  <c r="Q190" i="11"/>
  <c r="R190" i="11"/>
  <c r="S190" i="11"/>
  <c r="T190" i="11"/>
  <c r="U190" i="11"/>
  <c r="V190" i="11"/>
  <c r="C101" i="9"/>
  <c r="I101" i="9"/>
  <c r="P106" i="9"/>
  <c r="P105" i="9"/>
  <c r="O101" i="9"/>
  <c r="G101" i="9"/>
  <c r="W90" i="9"/>
  <c r="K98" i="9"/>
  <c r="M101" i="9"/>
  <c r="E101" i="9"/>
  <c r="J98" i="9"/>
  <c r="K101" i="9"/>
  <c r="P98" i="9"/>
  <c r="H98" i="9"/>
  <c r="W84" i="9"/>
  <c r="O98" i="9"/>
  <c r="G98" i="9"/>
  <c r="W96" i="9"/>
  <c r="W99" i="9"/>
  <c r="N98" i="9"/>
  <c r="F98" i="9"/>
  <c r="C80" i="9"/>
  <c r="C98" i="9"/>
  <c r="M98" i="9"/>
  <c r="E98" i="9"/>
  <c r="L98" i="9"/>
  <c r="D98" i="9"/>
  <c r="K80" i="9"/>
  <c r="J80" i="9"/>
  <c r="M80" i="9"/>
  <c r="I80" i="9"/>
  <c r="E80" i="9"/>
  <c r="H80" i="9"/>
  <c r="L80" i="9"/>
  <c r="D80" i="9"/>
  <c r="O80" i="9"/>
  <c r="G80" i="9"/>
  <c r="W81" i="9"/>
  <c r="N80" i="9"/>
  <c r="F80" i="9"/>
  <c r="B72" i="9"/>
  <c r="B76" i="9"/>
  <c r="Z62" i="9"/>
  <c r="Y61" i="9"/>
  <c r="L76" i="9"/>
  <c r="D76" i="9"/>
  <c r="H76" i="9"/>
  <c r="N76" i="9"/>
  <c r="F76" i="9"/>
  <c r="N72" i="9"/>
  <c r="F72" i="9"/>
  <c r="V72" i="9"/>
  <c r="V76" i="9"/>
  <c r="M76" i="9"/>
  <c r="E76" i="9"/>
  <c r="M72" i="9"/>
  <c r="E72" i="9"/>
  <c r="L72" i="9"/>
  <c r="D72" i="9"/>
  <c r="K76" i="9"/>
  <c r="C76" i="9"/>
  <c r="K72" i="9"/>
  <c r="C72" i="9"/>
  <c r="V74" i="9"/>
  <c r="J76" i="9"/>
  <c r="J72" i="9"/>
  <c r="V75" i="9"/>
  <c r="I76" i="9"/>
  <c r="I72" i="9"/>
  <c r="H72" i="9"/>
  <c r="O76" i="9"/>
  <c r="G76" i="9"/>
  <c r="G72" i="9"/>
  <c r="Y45" i="9"/>
  <c r="Z53" i="9"/>
  <c r="X44" i="9"/>
  <c r="Z57" i="9"/>
  <c r="Y53" i="9"/>
  <c r="Z46" i="9"/>
  <c r="AA53" i="9"/>
  <c r="Y42" i="9"/>
  <c r="Y43" i="9"/>
  <c r="X68" i="9"/>
  <c r="Z49" i="9"/>
  <c r="Y50" i="9"/>
  <c r="Z70" i="9"/>
  <c r="Y66" i="9"/>
  <c r="Y58" i="9"/>
  <c r="X60" i="9"/>
  <c r="Y63" i="9"/>
  <c r="AA66" i="9"/>
  <c r="Z68" i="9"/>
  <c r="Y64" i="9"/>
  <c r="Z63" i="9"/>
  <c r="X63" i="9"/>
  <c r="Z61" i="9"/>
  <c r="Z60" i="9"/>
  <c r="Y59" i="9"/>
  <c r="Y48" i="9"/>
  <c r="Z44" i="9"/>
  <c r="X42" i="9"/>
  <c r="Y70" i="9"/>
  <c r="Y68" i="9"/>
  <c r="Z66" i="9"/>
  <c r="Z64" i="9"/>
  <c r="X64" i="9"/>
  <c r="Y62" i="9"/>
  <c r="AA61" i="9"/>
  <c r="Y60" i="9"/>
  <c r="Z58" i="9"/>
  <c r="Y57" i="9"/>
  <c r="Z50" i="9"/>
  <c r="Y49" i="9"/>
  <c r="Z48" i="9"/>
  <c r="X48" i="9"/>
  <c r="X46" i="9"/>
  <c r="AA45" i="9"/>
  <c r="Y44" i="9"/>
  <c r="Z43" i="9"/>
  <c r="Z42" i="9"/>
  <c r="AA68" i="9"/>
  <c r="X70" i="9"/>
  <c r="X62" i="9"/>
  <c r="Z59" i="9"/>
  <c r="AA57" i="9"/>
  <c r="AA49" i="9"/>
  <c r="AA70" i="9"/>
  <c r="Y46" i="9"/>
  <c r="X59" i="9"/>
  <c r="X43" i="9"/>
  <c r="X66" i="9"/>
  <c r="X58" i="9"/>
  <c r="X50" i="9"/>
  <c r="Z45" i="9"/>
  <c r="X57" i="9"/>
  <c r="X49" i="9"/>
  <c r="AA42" i="9"/>
  <c r="AA46" i="9"/>
  <c r="X61" i="9"/>
  <c r="X53" i="9"/>
  <c r="X45" i="9"/>
  <c r="AA50" i="9"/>
  <c r="AA58" i="9"/>
  <c r="AA60" i="9"/>
  <c r="AA44" i="9"/>
  <c r="AA62" i="9"/>
  <c r="AA64" i="9"/>
  <c r="AA59" i="9"/>
  <c r="AA63" i="9"/>
  <c r="AA48" i="9"/>
  <c r="AA43" i="9"/>
  <c r="S102" i="9" l="1"/>
  <c r="B6" i="13"/>
  <c r="E6" i="13" s="1"/>
  <c r="E7" i="13"/>
  <c r="S105" i="9"/>
  <c r="R105" i="9"/>
  <c r="V105" i="9"/>
  <c r="T105" i="9"/>
  <c r="P103" i="9"/>
  <c r="Q105" i="9"/>
  <c r="U105" i="9"/>
  <c r="Q102" i="9"/>
  <c r="S191" i="11"/>
  <c r="R191" i="11"/>
  <c r="T191" i="11"/>
  <c r="U191" i="11"/>
  <c r="Q191" i="11"/>
  <c r="V191" i="11"/>
  <c r="U102" i="9"/>
  <c r="T102" i="9"/>
  <c r="R102" i="9"/>
  <c r="V102" i="9"/>
  <c r="V99" i="9"/>
  <c r="S99" i="9"/>
  <c r="U99" i="9"/>
  <c r="R99" i="9"/>
  <c r="T99" i="9"/>
  <c r="P100" i="9"/>
  <c r="P99" i="9"/>
  <c r="Q99" i="9" s="1"/>
  <c r="Y76" i="9"/>
  <c r="Z72" i="9"/>
  <c r="AA76" i="9"/>
  <c r="Z76" i="9"/>
  <c r="AA72" i="9"/>
  <c r="Y72" i="9"/>
  <c r="X72" i="9"/>
  <c r="X76" i="9"/>
  <c r="P220" i="1" l="1"/>
  <c r="P213" i="1"/>
  <c r="P208" i="1"/>
  <c r="P203" i="1"/>
  <c r="P198" i="1"/>
  <c r="P20" i="1"/>
  <c r="P229" i="8" s="1"/>
  <c r="P19" i="1"/>
  <c r="P18" i="1"/>
  <c r="P14" i="1"/>
  <c r="P11" i="1"/>
  <c r="P10" i="1"/>
  <c r="P9" i="1"/>
  <c r="P152" i="8" s="1"/>
  <c r="P7" i="1"/>
  <c r="P138" i="8" s="1"/>
  <c r="P6" i="1"/>
  <c r="P131" i="8" s="1"/>
  <c r="P5" i="1"/>
  <c r="P124" i="8" s="1"/>
  <c r="P4" i="1"/>
  <c r="P117" i="8" s="1"/>
  <c r="P3" i="1"/>
  <c r="P31" i="1"/>
  <c r="O70" i="9" s="1"/>
  <c r="P29" i="1"/>
  <c r="O68" i="9" s="1"/>
  <c r="P179" i="1" l="1"/>
  <c r="P215" i="8"/>
  <c r="P122" i="1"/>
  <c r="P159" i="8"/>
  <c r="P186" i="1"/>
  <c r="P222" i="8"/>
  <c r="P129" i="1"/>
  <c r="P166" i="8"/>
  <c r="P71" i="1"/>
  <c r="P110" i="8"/>
  <c r="P150" i="1"/>
  <c r="P187" i="8"/>
  <c r="O43" i="9"/>
  <c r="O44" i="9"/>
  <c r="O45" i="9"/>
  <c r="O57" i="9"/>
  <c r="O59" i="9"/>
  <c r="O53" i="9"/>
  <c r="P78" i="1"/>
  <c r="P193" i="1"/>
  <c r="O46" i="9"/>
  <c r="P85" i="1"/>
  <c r="P93" i="1"/>
  <c r="P30" i="1"/>
  <c r="O69" i="9" s="1"/>
  <c r="O48" i="9"/>
  <c r="P86" i="9" s="1"/>
  <c r="P100" i="1"/>
  <c r="O49" i="9"/>
  <c r="O42" i="9"/>
  <c r="O50" i="9"/>
  <c r="P92" i="9" s="1"/>
  <c r="O58" i="9"/>
  <c r="P115" i="1"/>
  <c r="P93" i="9" l="1"/>
  <c r="P94" i="9"/>
  <c r="P88" i="9"/>
  <c r="P87" i="9"/>
  <c r="P80" i="9"/>
  <c r="O72" i="9"/>
  <c r="R87" i="9" l="1"/>
  <c r="S87" i="9"/>
  <c r="Q87" i="9"/>
  <c r="T87" i="9"/>
  <c r="V87" i="9"/>
  <c r="U87" i="9"/>
  <c r="Q93" i="9"/>
  <c r="R93" i="9"/>
  <c r="U93" i="9"/>
  <c r="T93" i="9"/>
  <c r="S93" i="9"/>
  <c r="V93" i="9"/>
  <c r="P82" i="9"/>
  <c r="P81" i="9"/>
  <c r="P287" i="8"/>
  <c r="P275" i="8"/>
  <c r="P269" i="8"/>
  <c r="Q81" i="9" l="1"/>
  <c r="T81" i="9"/>
  <c r="S81" i="9"/>
  <c r="R81" i="9"/>
  <c r="V81" i="9"/>
  <c r="U81" i="9"/>
  <c r="P230" i="8"/>
  <c r="P228" i="8"/>
  <c r="P223" i="8"/>
  <c r="P221" i="8"/>
  <c r="P216" i="8"/>
  <c r="P214" i="8"/>
  <c r="P207" i="8"/>
  <c r="P271" i="8" l="1"/>
  <c r="P231" i="8"/>
  <c r="P224" i="8"/>
  <c r="P217" i="8"/>
  <c r="P200" i="8" l="1"/>
  <c r="P193" i="8"/>
  <c r="P188" i="8"/>
  <c r="P186" i="8"/>
  <c r="P167" i="8"/>
  <c r="P165" i="8"/>
  <c r="P179" i="8"/>
  <c r="P189" i="8" l="1"/>
  <c r="P160" i="8"/>
  <c r="P168" i="8"/>
  <c r="P161" i="8" l="1"/>
  <c r="P139" i="8"/>
  <c r="P132" i="8"/>
  <c r="P125" i="8"/>
  <c r="P118" i="8"/>
  <c r="P43" i="8"/>
  <c r="P44" i="8"/>
  <c r="P239" i="8" s="1"/>
  <c r="P240" i="8" s="1"/>
  <c r="P241" i="8" s="1"/>
  <c r="P45" i="8"/>
  <c r="P244" i="8" s="1"/>
  <c r="P245" i="8" s="1"/>
  <c r="P246" i="8" s="1"/>
  <c r="P46" i="8"/>
  <c r="P249" i="8" s="1"/>
  <c r="P250" i="8" s="1"/>
  <c r="P251" i="8" s="1"/>
  <c r="P47" i="8"/>
  <c r="P255" i="8" s="1"/>
  <c r="P256" i="8" s="1"/>
  <c r="P257" i="8" s="1"/>
  <c r="W26" i="8"/>
  <c r="W27" i="8"/>
  <c r="W28" i="8"/>
  <c r="W29" i="8"/>
  <c r="W30" i="8"/>
  <c r="W31" i="8"/>
  <c r="W32" i="8"/>
  <c r="W33" i="8"/>
  <c r="W34" i="8"/>
  <c r="W35" i="8"/>
  <c r="W36" i="8"/>
  <c r="W37" i="8"/>
  <c r="W38" i="8"/>
  <c r="W39" i="8"/>
  <c r="W40" i="8"/>
  <c r="W41" i="8"/>
  <c r="W42" i="8"/>
  <c r="W43" i="8"/>
  <c r="W44" i="8"/>
  <c r="W45" i="8"/>
  <c r="W46" i="8"/>
  <c r="W47" i="8"/>
  <c r="W25" i="8"/>
  <c r="P153" i="8" l="1"/>
  <c r="P111" i="8"/>
  <c r="P234" i="8"/>
  <c r="P288" i="8"/>
  <c r="P235" i="8" l="1"/>
  <c r="P289" i="8"/>
  <c r="P236" i="8" l="1"/>
  <c r="P291" i="8" s="1"/>
  <c r="P290" i="8"/>
  <c r="W220" i="1"/>
  <c r="W213" i="1"/>
  <c r="W208" i="1"/>
  <c r="W203" i="1"/>
  <c r="W198" i="1"/>
  <c r="W193" i="1"/>
  <c r="W186" i="1"/>
  <c r="W179" i="1"/>
  <c r="W172" i="1"/>
  <c r="W164" i="1"/>
  <c r="W157" i="1"/>
  <c r="W150" i="1"/>
  <c r="W143" i="1"/>
  <c r="W136" i="1"/>
  <c r="W129" i="1"/>
  <c r="W122" i="1"/>
  <c r="W115" i="1"/>
  <c r="W107" i="1"/>
  <c r="W100" i="1"/>
  <c r="W93" i="1"/>
  <c r="W85" i="1"/>
  <c r="W78" i="1"/>
  <c r="W71" i="1"/>
  <c r="S198" i="1" l="1"/>
  <c r="Q198" i="1"/>
  <c r="V198" i="1"/>
  <c r="U198" i="1"/>
  <c r="T198" i="1"/>
  <c r="R198" i="1"/>
  <c r="T203" i="1"/>
  <c r="R203" i="1"/>
  <c r="V203" i="1"/>
  <c r="U203" i="1"/>
  <c r="Q203" i="1"/>
  <c r="S203" i="1"/>
  <c r="U208" i="1"/>
  <c r="S208" i="1"/>
  <c r="Q208" i="1"/>
  <c r="R208" i="1"/>
  <c r="V208" i="1"/>
  <c r="T208" i="1"/>
  <c r="Q213" i="1"/>
  <c r="S213" i="1"/>
  <c r="V213" i="1"/>
  <c r="R213" i="1"/>
  <c r="T213" i="1"/>
  <c r="U213" i="1"/>
  <c r="U220" i="1"/>
  <c r="S220" i="1"/>
  <c r="R220" i="1"/>
  <c r="Q220" i="1"/>
  <c r="T220" i="1"/>
  <c r="V220" i="1"/>
  <c r="X9" i="1" l="1"/>
  <c r="X152" i="8" l="1"/>
  <c r="AE5" i="1"/>
  <c r="AF5" i="1" s="1"/>
  <c r="W48" i="9"/>
  <c r="C5" i="13" s="1"/>
  <c r="F5" i="13" s="1"/>
  <c r="X31" i="8"/>
  <c r="X115" i="1"/>
  <c r="X20" i="1"/>
  <c r="X19" i="1"/>
  <c r="X18" i="1"/>
  <c r="X17" i="1"/>
  <c r="X31" i="1"/>
  <c r="W70" i="9" s="1"/>
  <c r="AB70" i="9" s="1"/>
  <c r="X29" i="1"/>
  <c r="W68" i="9" s="1"/>
  <c r="AB68" i="9" s="1"/>
  <c r="X27" i="1"/>
  <c r="W66" i="9" s="1"/>
  <c r="AB66" i="9" s="1"/>
  <c r="X25" i="1"/>
  <c r="X24" i="1"/>
  <c r="X23" i="1"/>
  <c r="X22" i="1"/>
  <c r="X21" i="1"/>
  <c r="X16" i="1"/>
  <c r="X15" i="1"/>
  <c r="X194" i="8" s="1"/>
  <c r="X14" i="1"/>
  <c r="X13" i="1"/>
  <c r="X12" i="1"/>
  <c r="X11" i="1"/>
  <c r="X10" i="1"/>
  <c r="X8" i="1"/>
  <c r="X7" i="1"/>
  <c r="X6" i="1"/>
  <c r="X5" i="1"/>
  <c r="X4" i="1"/>
  <c r="X3" i="1"/>
  <c r="W28" i="1"/>
  <c r="V67" i="9" s="1"/>
  <c r="W30" i="1"/>
  <c r="W32" i="1"/>
  <c r="AE4" i="1" l="1"/>
  <c r="AE10" i="1"/>
  <c r="AF10" i="1" s="1"/>
  <c r="X110" i="8"/>
  <c r="AE3" i="1"/>
  <c r="AF3" i="1" s="1"/>
  <c r="X166" i="8"/>
  <c r="AE7" i="1"/>
  <c r="AF7" i="1" s="1"/>
  <c r="X254" i="8"/>
  <c r="AE11" i="1"/>
  <c r="AF11" i="1" s="1"/>
  <c r="X159" i="8"/>
  <c r="AE6" i="1"/>
  <c r="X208" i="8"/>
  <c r="AE8" i="1"/>
  <c r="X233" i="8"/>
  <c r="AE9" i="1"/>
  <c r="AF9" i="1" s="1"/>
  <c r="AB48" i="9"/>
  <c r="W88" i="9"/>
  <c r="W58" i="9"/>
  <c r="AB58" i="9" s="1"/>
  <c r="X222" i="8"/>
  <c r="W59" i="9"/>
  <c r="AB59" i="9" s="1"/>
  <c r="X229" i="8"/>
  <c r="W63" i="9"/>
  <c r="AB63" i="9" s="1"/>
  <c r="X248" i="8"/>
  <c r="W52" i="9"/>
  <c r="X180" i="8"/>
  <c r="W45" i="9"/>
  <c r="X131" i="8"/>
  <c r="W51" i="9"/>
  <c r="X173" i="8"/>
  <c r="W53" i="9"/>
  <c r="AB53" i="9" s="1"/>
  <c r="X187" i="8"/>
  <c r="W46" i="9"/>
  <c r="AB46" i="9" s="1"/>
  <c r="X138" i="8"/>
  <c r="W55" i="9"/>
  <c r="X201" i="8"/>
  <c r="W44" i="9"/>
  <c r="AB44" i="9" s="1"/>
  <c r="X124" i="8"/>
  <c r="W62" i="9"/>
  <c r="AB62" i="9" s="1"/>
  <c r="X243" i="8"/>
  <c r="W43" i="9"/>
  <c r="AB43" i="9" s="1"/>
  <c r="X117" i="8"/>
  <c r="W47" i="9"/>
  <c r="X145" i="8"/>
  <c r="W61" i="9"/>
  <c r="X238" i="8"/>
  <c r="W57" i="9"/>
  <c r="AB57" i="9" s="1"/>
  <c r="X215" i="8"/>
  <c r="W60" i="9"/>
  <c r="W56" i="9"/>
  <c r="W64" i="9"/>
  <c r="C11" i="13" s="1"/>
  <c r="F11" i="13" s="1"/>
  <c r="W49" i="9"/>
  <c r="W50" i="9"/>
  <c r="C7" i="13" s="1"/>
  <c r="F7" i="13" s="1"/>
  <c r="X32" i="1"/>
  <c r="W71" i="9" s="1"/>
  <c r="V71" i="9"/>
  <c r="X30" i="1"/>
  <c r="W69" i="9" s="1"/>
  <c r="V69" i="9"/>
  <c r="W54" i="9"/>
  <c r="W42" i="9"/>
  <c r="W26" i="1"/>
  <c r="X37" i="8"/>
  <c r="X157" i="1"/>
  <c r="X29" i="8"/>
  <c r="X100" i="1"/>
  <c r="X38" i="8"/>
  <c r="X164" i="1"/>
  <c r="X28" i="1"/>
  <c r="X42" i="8"/>
  <c r="X193" i="1"/>
  <c r="X30" i="8"/>
  <c r="X107" i="1"/>
  <c r="X43" i="8"/>
  <c r="X198" i="1"/>
  <c r="X32" i="8"/>
  <c r="X122" i="1"/>
  <c r="X44" i="8"/>
  <c r="X203" i="1"/>
  <c r="X33" i="8"/>
  <c r="X129" i="1"/>
  <c r="X45" i="8"/>
  <c r="X208" i="1"/>
  <c r="X34" i="8"/>
  <c r="X136" i="1"/>
  <c r="X46" i="8"/>
  <c r="X213" i="1"/>
  <c r="X41" i="8"/>
  <c r="X186" i="1"/>
  <c r="X25" i="8"/>
  <c r="X71" i="1"/>
  <c r="X231" i="1" s="1"/>
  <c r="X26" i="8"/>
  <c r="X78" i="1"/>
  <c r="X35" i="8"/>
  <c r="X143" i="1"/>
  <c r="X47" i="8"/>
  <c r="X220" i="1"/>
  <c r="X39" i="8"/>
  <c r="X172" i="1"/>
  <c r="X28" i="8"/>
  <c r="X93" i="1"/>
  <c r="X27" i="8"/>
  <c r="X85" i="1"/>
  <c r="X36" i="8"/>
  <c r="X150" i="1"/>
  <c r="X40" i="8"/>
  <c r="X179" i="1"/>
  <c r="P172" i="8"/>
  <c r="P60" i="2" s="1"/>
  <c r="P64" i="2" s="1"/>
  <c r="W73" i="9" l="1"/>
  <c r="X236" i="1"/>
  <c r="AD12" i="1"/>
  <c r="C3" i="13"/>
  <c r="F3" i="13" s="1"/>
  <c r="C10" i="13"/>
  <c r="F10" i="13" s="1"/>
  <c r="C6" i="13"/>
  <c r="F6" i="13" s="1"/>
  <c r="C4" i="13"/>
  <c r="F4" i="13" s="1"/>
  <c r="C8" i="13"/>
  <c r="F8" i="13" s="1"/>
  <c r="C9" i="13"/>
  <c r="F9" i="13" s="1"/>
  <c r="AB61" i="9"/>
  <c r="W103" i="9"/>
  <c r="AB64" i="9"/>
  <c r="W106" i="9"/>
  <c r="AB50" i="9"/>
  <c r="W94" i="9"/>
  <c r="AB49" i="9"/>
  <c r="W91" i="9"/>
  <c r="AB45" i="9"/>
  <c r="W85" i="9"/>
  <c r="W97" i="9"/>
  <c r="R88" i="9"/>
  <c r="T88" i="9"/>
  <c r="Q88" i="9"/>
  <c r="V88" i="9"/>
  <c r="S88" i="9"/>
  <c r="U88" i="9"/>
  <c r="W100" i="9"/>
  <c r="Q100" i="9" s="1"/>
  <c r="W82" i="9"/>
  <c r="W67" i="9"/>
  <c r="W76" i="9"/>
  <c r="AB76" i="9" s="1"/>
  <c r="W259" i="8"/>
  <c r="W75" i="9"/>
  <c r="P277" i="8"/>
  <c r="W74" i="9"/>
  <c r="AB42" i="9"/>
  <c r="W72" i="9"/>
  <c r="AB72" i="9" s="1"/>
  <c r="AB60" i="9"/>
  <c r="W48" i="8"/>
  <c r="V65" i="9"/>
  <c r="X26" i="1"/>
  <c r="W225" i="1"/>
  <c r="X250" i="1"/>
  <c r="X246" i="1"/>
  <c r="X241" i="1"/>
  <c r="P2" i="2"/>
  <c r="P63" i="2" s="1"/>
  <c r="O2" i="2"/>
  <c r="X259" i="8" l="1"/>
  <c r="AE12" i="1"/>
  <c r="W108" i="9"/>
  <c r="B12" i="13"/>
  <c r="E12" i="13" s="1"/>
  <c r="V100" i="9"/>
  <c r="S106" i="9"/>
  <c r="V106" i="9"/>
  <c r="R106" i="9"/>
  <c r="T106" i="9"/>
  <c r="Q106" i="9"/>
  <c r="U106" i="9"/>
  <c r="V103" i="9"/>
  <c r="R103" i="9"/>
  <c r="U103" i="9"/>
  <c r="Q103" i="9"/>
  <c r="S103" i="9"/>
  <c r="T103" i="9"/>
  <c r="U100" i="9"/>
  <c r="T100" i="9"/>
  <c r="S100" i="9"/>
  <c r="R100" i="9"/>
  <c r="V94" i="9"/>
  <c r="U94" i="9"/>
  <c r="T94" i="9"/>
  <c r="Q94" i="9"/>
  <c r="S94" i="9"/>
  <c r="R94" i="9"/>
  <c r="T82" i="9"/>
  <c r="S82" i="9"/>
  <c r="R82" i="9"/>
  <c r="Q82" i="9"/>
  <c r="V82" i="9"/>
  <c r="U82" i="9"/>
  <c r="O35" i="2"/>
  <c r="O43" i="2"/>
  <c r="O39" i="2"/>
  <c r="S30" i="2"/>
  <c r="O25" i="2"/>
  <c r="O47" i="2"/>
  <c r="O21" i="2"/>
  <c r="O68" i="2"/>
  <c r="O59" i="2"/>
  <c r="O55" i="2"/>
  <c r="O104" i="2"/>
  <c r="O96" i="2"/>
  <c r="O88" i="2"/>
  <c r="O84" i="2"/>
  <c r="O92" i="2"/>
  <c r="O100" i="2"/>
  <c r="W65" i="9"/>
  <c r="X225" i="1"/>
  <c r="X48" i="8"/>
  <c r="E13" i="13" l="1"/>
  <c r="W109" i="9"/>
  <c r="C12" i="13"/>
  <c r="F12" i="13" s="1"/>
  <c r="F13" i="13" s="1"/>
  <c r="B60" i="1"/>
  <c r="B58" i="1"/>
  <c r="B57" i="1"/>
  <c r="F54" i="1"/>
  <c r="C241" i="11" s="1"/>
  <c r="F53" i="1"/>
  <c r="C240" i="11" s="1"/>
  <c r="F52" i="1"/>
  <c r="C239" i="11" s="1"/>
  <c r="F51" i="1"/>
  <c r="C238" i="11" s="1"/>
  <c r="F50" i="1"/>
  <c r="C237" i="11" s="1"/>
  <c r="F47" i="1"/>
  <c r="F44" i="1"/>
  <c r="C231" i="11" s="1"/>
  <c r="F43" i="1"/>
  <c r="F42" i="1"/>
  <c r="F41" i="1"/>
  <c r="F40" i="1"/>
  <c r="F39" i="1"/>
  <c r="F38" i="1"/>
  <c r="F37" i="1"/>
  <c r="F36" i="1"/>
  <c r="G14" i="13" l="1"/>
  <c r="G13" i="13"/>
  <c r="G3" i="13"/>
  <c r="G9" i="13"/>
  <c r="G5" i="13"/>
  <c r="G11" i="13"/>
  <c r="G10" i="13"/>
  <c r="G4" i="13"/>
  <c r="G8" i="13"/>
  <c r="G7" i="13"/>
  <c r="G6" i="13"/>
  <c r="G12" i="13"/>
  <c r="C4" i="2"/>
  <c r="K4" i="2"/>
  <c r="O4" i="2"/>
  <c r="H4" i="2"/>
  <c r="I4" i="2"/>
  <c r="D4" i="2"/>
  <c r="L4" i="2"/>
  <c r="J4" i="2"/>
  <c r="E4" i="2"/>
  <c r="M4" i="2"/>
  <c r="F4" i="2"/>
  <c r="N4" i="2"/>
  <c r="G4" i="2"/>
  <c r="I9" i="2"/>
  <c r="O9" i="2"/>
  <c r="H9" i="2"/>
  <c r="J9" i="2"/>
  <c r="E9" i="2"/>
  <c r="F9" i="2"/>
  <c r="C9" i="2"/>
  <c r="K9" i="2"/>
  <c r="D9" i="2"/>
  <c r="L9" i="2"/>
  <c r="M9" i="2"/>
  <c r="N9" i="2"/>
  <c r="G9" i="2"/>
  <c r="I27" i="2"/>
  <c r="K27" i="2"/>
  <c r="N27" i="2"/>
  <c r="G27" i="2"/>
  <c r="J27" i="2"/>
  <c r="E27" i="2"/>
  <c r="F27" i="2"/>
  <c r="H27" i="2"/>
  <c r="D27" i="2"/>
  <c r="L27" i="2"/>
  <c r="M27" i="2"/>
  <c r="O27" i="2"/>
  <c r="C27" i="2"/>
  <c r="B39" i="1"/>
  <c r="C226" i="11"/>
  <c r="B40" i="1"/>
  <c r="C227" i="11"/>
  <c r="B41" i="1"/>
  <c r="C228" i="11"/>
  <c r="B42" i="1"/>
  <c r="C229" i="11"/>
  <c r="B43" i="1"/>
  <c r="C230" i="11"/>
  <c r="F59" i="8"/>
  <c r="C223" i="11"/>
  <c r="F60" i="8"/>
  <c r="C224" i="11"/>
  <c r="F70" i="8"/>
  <c r="C234" i="11"/>
  <c r="B38" i="1"/>
  <c r="C225" i="11"/>
  <c r="P68" i="1"/>
  <c r="H68" i="1"/>
  <c r="O68" i="1"/>
  <c r="G68" i="1"/>
  <c r="V68" i="1"/>
  <c r="N68" i="1"/>
  <c r="F68" i="1"/>
  <c r="K68" i="1"/>
  <c r="I68" i="1"/>
  <c r="U68" i="1"/>
  <c r="M68" i="1"/>
  <c r="E68" i="1"/>
  <c r="Q68" i="1"/>
  <c r="T68" i="1"/>
  <c r="L68" i="1"/>
  <c r="D68" i="1"/>
  <c r="S68" i="1"/>
  <c r="C68" i="1"/>
  <c r="R68" i="1"/>
  <c r="J68" i="1"/>
  <c r="O75" i="1"/>
  <c r="G75" i="1"/>
  <c r="F75" i="1"/>
  <c r="U75" i="1"/>
  <c r="M75" i="1"/>
  <c r="E75" i="1"/>
  <c r="R75" i="1"/>
  <c r="H75" i="1"/>
  <c r="N75" i="1"/>
  <c r="T75" i="1"/>
  <c r="L75" i="1"/>
  <c r="D75" i="1"/>
  <c r="S75" i="1"/>
  <c r="K75" i="1"/>
  <c r="J75" i="1"/>
  <c r="P75" i="1"/>
  <c r="V75" i="1"/>
  <c r="Q75" i="1"/>
  <c r="I75" i="1"/>
  <c r="C75" i="1"/>
  <c r="S104" i="1"/>
  <c r="K104" i="1"/>
  <c r="C104" i="1"/>
  <c r="R104" i="1"/>
  <c r="J104" i="1"/>
  <c r="Q104" i="1"/>
  <c r="I104" i="1"/>
  <c r="D104" i="1"/>
  <c r="P104" i="1"/>
  <c r="H104" i="1"/>
  <c r="N104" i="1"/>
  <c r="T104" i="1"/>
  <c r="O104" i="1"/>
  <c r="G104" i="1"/>
  <c r="V104" i="1"/>
  <c r="F104" i="1"/>
  <c r="U104" i="1"/>
  <c r="M104" i="1"/>
  <c r="E104" i="1"/>
  <c r="L104" i="1"/>
  <c r="X142" i="1"/>
  <c r="X239" i="1"/>
  <c r="X135" i="1"/>
  <c r="X149" i="1"/>
  <c r="X156" i="1"/>
  <c r="W171" i="11"/>
  <c r="C184" i="11" s="1"/>
  <c r="D184" i="11" s="1"/>
  <c r="W165" i="11"/>
  <c r="W167" i="11"/>
  <c r="W169" i="11"/>
  <c r="C183" i="11" s="1"/>
  <c r="D183" i="11" s="1"/>
  <c r="B37" i="1"/>
  <c r="B36" i="1"/>
  <c r="B47" i="1"/>
  <c r="C182" i="11" l="1"/>
  <c r="D182" i="11" s="1"/>
  <c r="W212" i="11"/>
  <c r="W209" i="11"/>
  <c r="C181" i="11"/>
  <c r="D181" i="11" s="1"/>
  <c r="W175" i="11"/>
  <c r="W104" i="1"/>
  <c r="X104" i="1" s="1"/>
  <c r="Q107" i="8"/>
  <c r="I107" i="8"/>
  <c r="B59" i="8"/>
  <c r="C107" i="8"/>
  <c r="P107" i="8"/>
  <c r="H107" i="8"/>
  <c r="R107" i="8"/>
  <c r="O107" i="8"/>
  <c r="G107" i="8"/>
  <c r="V107" i="8"/>
  <c r="N107" i="8"/>
  <c r="F107" i="8"/>
  <c r="U107" i="8"/>
  <c r="M107" i="8"/>
  <c r="E107" i="8"/>
  <c r="S107" i="8"/>
  <c r="J107" i="8"/>
  <c r="T107" i="8"/>
  <c r="L107" i="8"/>
  <c r="D107" i="8"/>
  <c r="K107" i="8"/>
  <c r="R142" i="8"/>
  <c r="R144" i="8" s="1"/>
  <c r="J142" i="8"/>
  <c r="D142" i="8"/>
  <c r="S142" i="8"/>
  <c r="S144" i="8" s="1"/>
  <c r="Q142" i="8"/>
  <c r="Q144" i="8" s="1"/>
  <c r="I142" i="8"/>
  <c r="P142" i="8"/>
  <c r="H142" i="8"/>
  <c r="T142" i="8"/>
  <c r="T144" i="8" s="1"/>
  <c r="O142" i="8"/>
  <c r="G142" i="8"/>
  <c r="V142" i="8"/>
  <c r="V144" i="8" s="1"/>
  <c r="N142" i="8"/>
  <c r="F142" i="8"/>
  <c r="C142" i="8"/>
  <c r="U142" i="8"/>
  <c r="U144" i="8" s="1"/>
  <c r="M142" i="8"/>
  <c r="E142" i="8"/>
  <c r="B70" i="8"/>
  <c r="L142" i="8"/>
  <c r="K142" i="8"/>
  <c r="U114" i="8"/>
  <c r="M114" i="8"/>
  <c r="E114" i="8"/>
  <c r="V114" i="8"/>
  <c r="T114" i="8"/>
  <c r="L114" i="8"/>
  <c r="D114" i="8"/>
  <c r="B60" i="8"/>
  <c r="S114" i="8"/>
  <c r="K114" i="8"/>
  <c r="C114" i="8"/>
  <c r="O114" i="8"/>
  <c r="R114" i="8"/>
  <c r="J114" i="8"/>
  <c r="G114" i="8"/>
  <c r="N114" i="8"/>
  <c r="Q114" i="8"/>
  <c r="I114" i="8"/>
  <c r="F114" i="8"/>
  <c r="P114" i="8"/>
  <c r="H114" i="8"/>
  <c r="W75" i="1"/>
  <c r="X249" i="1"/>
  <c r="X75" i="1" l="1"/>
  <c r="W218" i="11"/>
  <c r="C186" i="11"/>
  <c r="D186" i="11" s="1"/>
  <c r="V212" i="11"/>
  <c r="U212" i="11"/>
  <c r="Q212" i="11"/>
  <c r="T212" i="11"/>
  <c r="S212" i="11"/>
  <c r="R212" i="11"/>
  <c r="S209" i="11"/>
  <c r="T209" i="11"/>
  <c r="V209" i="11"/>
  <c r="R209" i="11"/>
  <c r="U209" i="11"/>
  <c r="Q209" i="11"/>
  <c r="W114" i="8"/>
  <c r="X114" i="8" s="1"/>
  <c r="W107" i="8"/>
  <c r="X107" i="8" s="1"/>
  <c r="U218" i="11" l="1"/>
  <c r="Q218" i="11"/>
  <c r="V218" i="11"/>
  <c r="S218" i="11"/>
  <c r="R218" i="11"/>
  <c r="T218" i="11"/>
  <c r="V249" i="1"/>
  <c r="U249" i="1"/>
  <c r="T249" i="1"/>
  <c r="S249" i="1"/>
  <c r="R249" i="1"/>
  <c r="Q249" i="1"/>
  <c r="P249" i="1"/>
  <c r="V244" i="1"/>
  <c r="U244" i="1"/>
  <c r="T244" i="1"/>
  <c r="S244" i="1"/>
  <c r="R244" i="1"/>
  <c r="Q244" i="1"/>
  <c r="P244" i="1"/>
  <c r="V240" i="1"/>
  <c r="V239" i="1"/>
  <c r="U240" i="1"/>
  <c r="U239" i="1"/>
  <c r="T240" i="1"/>
  <c r="T239" i="1"/>
  <c r="S240" i="1"/>
  <c r="S239" i="1"/>
  <c r="R240" i="1"/>
  <c r="R239" i="1"/>
  <c r="Q240" i="1"/>
  <c r="Q239" i="1"/>
  <c r="P239" i="1"/>
  <c r="X244" i="1" l="1"/>
  <c r="V156" i="1"/>
  <c r="U156" i="1"/>
  <c r="T156" i="1"/>
  <c r="S156" i="1"/>
  <c r="R156" i="1"/>
  <c r="Q156" i="1"/>
  <c r="P156" i="1"/>
  <c r="V149" i="1"/>
  <c r="U149" i="1"/>
  <c r="T149" i="1"/>
  <c r="S149" i="1"/>
  <c r="R149" i="1"/>
  <c r="Q149" i="1"/>
  <c r="P149" i="1"/>
  <c r="V142" i="1"/>
  <c r="U142" i="1"/>
  <c r="T142" i="1"/>
  <c r="S142" i="1"/>
  <c r="R142" i="1"/>
  <c r="Q142" i="1"/>
  <c r="P142" i="1"/>
  <c r="V135" i="1"/>
  <c r="U135" i="1"/>
  <c r="T135" i="1"/>
  <c r="S135" i="1"/>
  <c r="R135" i="1"/>
  <c r="Q135" i="1"/>
  <c r="P135" i="1"/>
  <c r="V128" i="1"/>
  <c r="U128" i="1"/>
  <c r="T128" i="1"/>
  <c r="S128" i="1"/>
  <c r="R128" i="1"/>
  <c r="Q128" i="1"/>
  <c r="P128" i="1"/>
  <c r="V106" i="1"/>
  <c r="U106" i="1"/>
  <c r="T106" i="1"/>
  <c r="S106" i="1"/>
  <c r="R106" i="1"/>
  <c r="Q106" i="1"/>
  <c r="P167" i="1" l="1"/>
  <c r="R245" i="1"/>
  <c r="T245" i="1"/>
  <c r="V245" i="1"/>
  <c r="S245" i="1"/>
  <c r="U245" i="1"/>
  <c r="Q245" i="1"/>
  <c r="P245" i="1"/>
  <c r="Q77" i="1"/>
  <c r="R77" i="1"/>
  <c r="S77" i="1"/>
  <c r="T77" i="1"/>
  <c r="U77" i="1"/>
  <c r="V77" i="1"/>
  <c r="Q70" i="1"/>
  <c r="R70" i="1"/>
  <c r="S70" i="1"/>
  <c r="T70" i="1"/>
  <c r="U70" i="1"/>
  <c r="V70" i="1"/>
  <c r="V32" i="1" l="1"/>
  <c r="U32" i="1"/>
  <c r="T32" i="1"/>
  <c r="S32" i="1"/>
  <c r="R32" i="1"/>
  <c r="Q32" i="1"/>
  <c r="P32" i="1"/>
  <c r="O71" i="9" s="1"/>
  <c r="V30" i="1"/>
  <c r="U30" i="1"/>
  <c r="T30" i="1"/>
  <c r="S30" i="1"/>
  <c r="R30" i="1"/>
  <c r="Q30" i="1"/>
  <c r="V28" i="1"/>
  <c r="U28" i="1"/>
  <c r="T28" i="1"/>
  <c r="S28" i="1"/>
  <c r="R28" i="1"/>
  <c r="Q28" i="1"/>
  <c r="P28" i="1"/>
  <c r="O67" i="9" s="1"/>
  <c r="V26" i="1" l="1"/>
  <c r="V259" i="8" s="1"/>
  <c r="V260" i="8" s="1"/>
  <c r="V261" i="8" s="1"/>
  <c r="U26" i="1"/>
  <c r="U259" i="8" s="1"/>
  <c r="U260" i="8" s="1"/>
  <c r="U261" i="8" s="1"/>
  <c r="T26" i="1"/>
  <c r="T259" i="8" s="1"/>
  <c r="T260" i="8" s="1"/>
  <c r="T261" i="8" s="1"/>
  <c r="S26" i="1"/>
  <c r="S259" i="8" s="1"/>
  <c r="S260" i="8" s="1"/>
  <c r="S261" i="8" s="1"/>
  <c r="R26" i="1"/>
  <c r="R259" i="8" s="1"/>
  <c r="R260" i="8" s="1"/>
  <c r="R261" i="8" s="1"/>
  <c r="Q26" i="1"/>
  <c r="Q259" i="8" s="1"/>
  <c r="Q260" i="8" s="1"/>
  <c r="Q261" i="8" s="1"/>
  <c r="P26" i="1"/>
  <c r="P259" i="8" s="1"/>
  <c r="P260" i="8" s="1"/>
  <c r="P261" i="8" s="1"/>
  <c r="P262" i="8" s="1"/>
  <c r="P296" i="8" s="1"/>
  <c r="O65" i="9" l="1"/>
  <c r="P107" i="9" s="1"/>
  <c r="P225" i="1"/>
  <c r="P109" i="9" l="1"/>
  <c r="P108" i="9"/>
  <c r="Q225" i="1"/>
  <c r="V225" i="1"/>
  <c r="U225" i="1"/>
  <c r="T225" i="1"/>
  <c r="S225" i="1"/>
  <c r="R225" i="1"/>
  <c r="U108" i="9" l="1"/>
  <c r="Q108" i="9"/>
  <c r="T108" i="9"/>
  <c r="R108" i="9"/>
  <c r="V108" i="9"/>
  <c r="S108" i="9"/>
  <c r="U109" i="9"/>
  <c r="T109" i="9"/>
  <c r="S109" i="9"/>
  <c r="V109" i="9"/>
  <c r="R109" i="9"/>
  <c r="Q109" i="9"/>
  <c r="E56" i="1" l="1"/>
  <c r="B56" i="1" s="1"/>
  <c r="F46" i="1" l="1"/>
  <c r="B55" i="1"/>
  <c r="B48" i="1"/>
  <c r="B49" i="1"/>
  <c r="F69" i="8" l="1"/>
  <c r="C233" i="11"/>
  <c r="P97" i="1"/>
  <c r="P99" i="1" s="1"/>
  <c r="H97" i="1"/>
  <c r="V97" i="1"/>
  <c r="V99" i="1" s="1"/>
  <c r="N97" i="1"/>
  <c r="F97" i="1"/>
  <c r="S97" i="1"/>
  <c r="S99" i="1" s="1"/>
  <c r="U97" i="1"/>
  <c r="U99" i="1" s="1"/>
  <c r="M97" i="1"/>
  <c r="E97" i="1"/>
  <c r="K97" i="1"/>
  <c r="G97" i="1"/>
  <c r="T97" i="1"/>
  <c r="T99" i="1" s="1"/>
  <c r="L97" i="1"/>
  <c r="D97" i="1"/>
  <c r="C97" i="1"/>
  <c r="Q97" i="1"/>
  <c r="Q99" i="1" s="1"/>
  <c r="R97" i="1"/>
  <c r="R99" i="1" s="1"/>
  <c r="J97" i="1"/>
  <c r="I97" i="1"/>
  <c r="O97" i="1"/>
  <c r="B46" i="1"/>
  <c r="G15" i="3"/>
  <c r="E15" i="3"/>
  <c r="E57" i="3"/>
  <c r="B57" i="3"/>
  <c r="V135" i="8" l="1"/>
  <c r="V137" i="8" s="1"/>
  <c r="N135" i="8"/>
  <c r="F135" i="8"/>
  <c r="U135" i="8"/>
  <c r="U137" i="8" s="1"/>
  <c r="M135" i="8"/>
  <c r="E135" i="8"/>
  <c r="G135" i="8"/>
  <c r="T135" i="8"/>
  <c r="T137" i="8" s="1"/>
  <c r="L135" i="8"/>
  <c r="D135" i="8"/>
  <c r="B69" i="8"/>
  <c r="S135" i="8"/>
  <c r="S137" i="8" s="1"/>
  <c r="K135" i="8"/>
  <c r="H135" i="8"/>
  <c r="O135" i="8"/>
  <c r="R135" i="8"/>
  <c r="R137" i="8" s="1"/>
  <c r="J135" i="8"/>
  <c r="C135" i="8"/>
  <c r="P135" i="8"/>
  <c r="Q135" i="8"/>
  <c r="Q137" i="8" s="1"/>
  <c r="I135" i="8"/>
  <c r="W97" i="1"/>
  <c r="X97" i="1" s="1"/>
  <c r="C46" i="3"/>
  <c r="C45" i="3"/>
  <c r="C44" i="3"/>
  <c r="C43" i="3"/>
  <c r="K2" i="3" l="1"/>
  <c r="L2" i="3"/>
  <c r="M2" i="3"/>
  <c r="N2" i="3"/>
  <c r="O2" i="3"/>
  <c r="P2" i="3"/>
  <c r="K3" i="3"/>
  <c r="L3" i="3"/>
  <c r="L7" i="3" s="1"/>
  <c r="M3" i="3"/>
  <c r="N3" i="3"/>
  <c r="O3" i="3"/>
  <c r="P3" i="3"/>
  <c r="K5" i="3"/>
  <c r="L5" i="3"/>
  <c r="M5" i="3"/>
  <c r="N5" i="3"/>
  <c r="N7" i="3" s="1"/>
  <c r="O5" i="3"/>
  <c r="P5" i="3"/>
  <c r="B6" i="3"/>
  <c r="C6" i="3"/>
  <c r="D6" i="3"/>
  <c r="E6" i="3"/>
  <c r="F6" i="3"/>
  <c r="G6" i="3"/>
  <c r="I6" i="3"/>
  <c r="B7" i="3"/>
  <c r="C7" i="3"/>
  <c r="D7" i="3"/>
  <c r="E7" i="3"/>
  <c r="F7" i="3"/>
  <c r="G7" i="3"/>
  <c r="K6" i="3" l="1"/>
  <c r="O7" i="3"/>
  <c r="P7" i="3"/>
  <c r="L6" i="3"/>
  <c r="M7" i="3"/>
  <c r="K7" i="3"/>
  <c r="J37" i="1" l="1"/>
  <c r="J42" i="1" l="1"/>
  <c r="J41" i="1"/>
  <c r="J40" i="1"/>
  <c r="J39" i="1"/>
  <c r="D2" i="2" l="1"/>
  <c r="E2" i="2"/>
  <c r="F2" i="2"/>
  <c r="G2" i="2"/>
  <c r="H2" i="2"/>
  <c r="I2" i="2"/>
  <c r="J2" i="2"/>
  <c r="K2" i="2"/>
  <c r="L2" i="2"/>
  <c r="M2" i="2"/>
  <c r="N2" i="2"/>
  <c r="C2" i="2"/>
  <c r="M339" i="6"/>
  <c r="N339" i="6"/>
  <c r="O339" i="6"/>
  <c r="P339" i="6"/>
  <c r="Q339" i="6"/>
  <c r="R339" i="6"/>
  <c r="S339" i="6"/>
  <c r="T339" i="6"/>
  <c r="U339" i="6"/>
  <c r="V339" i="6"/>
  <c r="W339" i="6"/>
  <c r="X339" i="6"/>
  <c r="L339" i="6"/>
  <c r="B3" i="8"/>
  <c r="B4" i="8"/>
  <c r="B5" i="8"/>
  <c r="B6" i="8"/>
  <c r="B7" i="8"/>
  <c r="B8" i="8"/>
  <c r="B9" i="8"/>
  <c r="B10" i="8"/>
  <c r="B2" i="8"/>
  <c r="C26" i="8"/>
  <c r="D26" i="8"/>
  <c r="E26" i="8"/>
  <c r="F26" i="8"/>
  <c r="G26" i="8"/>
  <c r="H26" i="8"/>
  <c r="I26" i="8"/>
  <c r="J26" i="8"/>
  <c r="K26" i="8"/>
  <c r="L26" i="8"/>
  <c r="M26" i="8"/>
  <c r="N26" i="8"/>
  <c r="O26" i="8"/>
  <c r="C27" i="8"/>
  <c r="D27" i="8"/>
  <c r="E27" i="8"/>
  <c r="F27" i="8"/>
  <c r="G27" i="8"/>
  <c r="H27" i="8"/>
  <c r="I27" i="8"/>
  <c r="J27" i="8"/>
  <c r="K27" i="8"/>
  <c r="L27" i="8"/>
  <c r="M27" i="8"/>
  <c r="N27" i="8"/>
  <c r="O27" i="8"/>
  <c r="C28" i="8"/>
  <c r="D28" i="8"/>
  <c r="E28" i="8"/>
  <c r="F28" i="8"/>
  <c r="G28" i="8"/>
  <c r="H28" i="8"/>
  <c r="I28" i="8"/>
  <c r="J28" i="8"/>
  <c r="K28" i="8"/>
  <c r="L28" i="8"/>
  <c r="M28" i="8"/>
  <c r="N28" i="8"/>
  <c r="O28" i="8"/>
  <c r="C29" i="8"/>
  <c r="D29" i="8"/>
  <c r="E29" i="8"/>
  <c r="F29" i="8"/>
  <c r="G29" i="8"/>
  <c r="H29" i="8"/>
  <c r="I29" i="8"/>
  <c r="J29" i="8"/>
  <c r="K29" i="8"/>
  <c r="L29" i="8"/>
  <c r="M29" i="8"/>
  <c r="N29" i="8"/>
  <c r="O29" i="8"/>
  <c r="C31" i="8"/>
  <c r="D31" i="8"/>
  <c r="E31" i="8"/>
  <c r="F31" i="8"/>
  <c r="G31" i="8"/>
  <c r="H31" i="8"/>
  <c r="I31" i="8"/>
  <c r="J31" i="8"/>
  <c r="K31" i="8"/>
  <c r="L31" i="8"/>
  <c r="M31" i="8"/>
  <c r="N31" i="8"/>
  <c r="O31" i="8"/>
  <c r="C32" i="8"/>
  <c r="D32" i="8"/>
  <c r="E32" i="8"/>
  <c r="F32" i="8"/>
  <c r="G32" i="8"/>
  <c r="H32" i="8"/>
  <c r="I32" i="8"/>
  <c r="J32" i="8"/>
  <c r="K32" i="8"/>
  <c r="L32" i="8"/>
  <c r="M32" i="8"/>
  <c r="N32" i="8"/>
  <c r="O32" i="8"/>
  <c r="C33" i="8"/>
  <c r="D33" i="8"/>
  <c r="E33" i="8"/>
  <c r="F33" i="8"/>
  <c r="G33" i="8"/>
  <c r="H33" i="8"/>
  <c r="I33" i="8"/>
  <c r="J33" i="8"/>
  <c r="K33" i="8"/>
  <c r="L33" i="8"/>
  <c r="M33" i="8"/>
  <c r="N33" i="8"/>
  <c r="O33" i="8"/>
  <c r="C36" i="8"/>
  <c r="D36" i="8"/>
  <c r="E36" i="8"/>
  <c r="F36" i="8"/>
  <c r="G36" i="8"/>
  <c r="H36" i="8"/>
  <c r="I36" i="8"/>
  <c r="J36" i="8"/>
  <c r="K36" i="8"/>
  <c r="L36" i="8"/>
  <c r="M36" i="8"/>
  <c r="N36" i="8"/>
  <c r="O36" i="8"/>
  <c r="C40" i="8"/>
  <c r="D40" i="8"/>
  <c r="E40" i="8"/>
  <c r="F40" i="8"/>
  <c r="G40" i="8"/>
  <c r="H40" i="8"/>
  <c r="I40" i="8"/>
  <c r="J40" i="8"/>
  <c r="K40" i="8"/>
  <c r="L40" i="8"/>
  <c r="M40" i="8"/>
  <c r="N40" i="8"/>
  <c r="O40" i="8"/>
  <c r="C41" i="8"/>
  <c r="D41" i="8"/>
  <c r="E41" i="8"/>
  <c r="F41" i="8"/>
  <c r="G41" i="8"/>
  <c r="H41" i="8"/>
  <c r="I41" i="8"/>
  <c r="J41" i="8"/>
  <c r="K41" i="8"/>
  <c r="L41" i="8"/>
  <c r="M41" i="8"/>
  <c r="N41" i="8"/>
  <c r="O41" i="8"/>
  <c r="C42" i="8"/>
  <c r="D42" i="8"/>
  <c r="E42" i="8"/>
  <c r="F42" i="8"/>
  <c r="G42" i="8"/>
  <c r="H42" i="8"/>
  <c r="I42" i="8"/>
  <c r="J42" i="8"/>
  <c r="K42" i="8"/>
  <c r="L42" i="8"/>
  <c r="M42" i="8"/>
  <c r="N42" i="8"/>
  <c r="O42" i="8"/>
  <c r="C43" i="8"/>
  <c r="D43" i="8"/>
  <c r="E43" i="8"/>
  <c r="F43" i="8"/>
  <c r="G43" i="8"/>
  <c r="H43" i="8"/>
  <c r="I43" i="8"/>
  <c r="J43" i="8"/>
  <c r="K43" i="8"/>
  <c r="L43" i="8"/>
  <c r="M43" i="8"/>
  <c r="N43" i="8"/>
  <c r="O43" i="8"/>
  <c r="C44" i="8"/>
  <c r="D44" i="8"/>
  <c r="E44" i="8"/>
  <c r="F44" i="8"/>
  <c r="G44" i="8"/>
  <c r="H44" i="8"/>
  <c r="I44" i="8"/>
  <c r="J44" i="8"/>
  <c r="K44" i="8"/>
  <c r="L44" i="8"/>
  <c r="M44" i="8"/>
  <c r="N44" i="8"/>
  <c r="O44" i="8"/>
  <c r="C45" i="8"/>
  <c r="D45" i="8"/>
  <c r="E45" i="8"/>
  <c r="F45" i="8"/>
  <c r="G45" i="8"/>
  <c r="H45" i="8"/>
  <c r="I45" i="8"/>
  <c r="J45" i="8"/>
  <c r="K45" i="8"/>
  <c r="L45" i="8"/>
  <c r="M45" i="8"/>
  <c r="N45" i="8"/>
  <c r="O45" i="8"/>
  <c r="C46" i="8"/>
  <c r="D46" i="8"/>
  <c r="E46" i="8"/>
  <c r="F46" i="8"/>
  <c r="G46" i="8"/>
  <c r="H46" i="8"/>
  <c r="I46" i="8"/>
  <c r="J46" i="8"/>
  <c r="K46" i="8"/>
  <c r="L46" i="8"/>
  <c r="M46" i="8"/>
  <c r="N46" i="8"/>
  <c r="O46" i="8"/>
  <c r="C47" i="8"/>
  <c r="D47" i="8"/>
  <c r="E47" i="8"/>
  <c r="F47" i="8"/>
  <c r="G47" i="8"/>
  <c r="H47" i="8"/>
  <c r="I47" i="8"/>
  <c r="J47" i="8"/>
  <c r="K47" i="8"/>
  <c r="L47" i="8"/>
  <c r="M47" i="8"/>
  <c r="N47" i="8"/>
  <c r="O47" i="8"/>
  <c r="C49" i="8"/>
  <c r="D49" i="8"/>
  <c r="E49" i="8"/>
  <c r="F49" i="8"/>
  <c r="G49" i="8"/>
  <c r="H49" i="8"/>
  <c r="I49" i="8"/>
  <c r="J49" i="8"/>
  <c r="K49" i="8"/>
  <c r="L49" i="8"/>
  <c r="M49" i="8"/>
  <c r="N49" i="8"/>
  <c r="O49" i="8"/>
  <c r="W49" i="8"/>
  <c r="C51" i="8"/>
  <c r="D51" i="8"/>
  <c r="E51" i="8"/>
  <c r="F51" i="8"/>
  <c r="G51" i="8"/>
  <c r="H51" i="8"/>
  <c r="I51" i="8"/>
  <c r="J51" i="8"/>
  <c r="K51" i="8"/>
  <c r="L51" i="8"/>
  <c r="M51" i="8"/>
  <c r="N51" i="8"/>
  <c r="O51" i="8"/>
  <c r="W51" i="8"/>
  <c r="C53" i="8"/>
  <c r="D53" i="8"/>
  <c r="E53" i="8"/>
  <c r="F53" i="8"/>
  <c r="G53" i="8"/>
  <c r="H53" i="8"/>
  <c r="I53" i="8"/>
  <c r="J53" i="8"/>
  <c r="K53" i="8"/>
  <c r="L53" i="8"/>
  <c r="M53" i="8"/>
  <c r="N53" i="8"/>
  <c r="O53" i="8"/>
  <c r="W53" i="8"/>
  <c r="D25" i="8"/>
  <c r="E25" i="8"/>
  <c r="F25" i="8"/>
  <c r="G25" i="8"/>
  <c r="H25" i="8"/>
  <c r="I25" i="8"/>
  <c r="J25" i="8"/>
  <c r="K25" i="8"/>
  <c r="L25" i="8"/>
  <c r="M25" i="8"/>
  <c r="N25" i="8"/>
  <c r="O25" i="8"/>
  <c r="C25" i="8"/>
  <c r="K35" i="2" l="1"/>
  <c r="K39" i="2"/>
  <c r="K47" i="2"/>
  <c r="K43" i="2"/>
  <c r="K21" i="2"/>
  <c r="K25" i="2"/>
  <c r="J39" i="2"/>
  <c r="J47" i="2"/>
  <c r="J35" i="2"/>
  <c r="J43" i="2"/>
  <c r="J25" i="2"/>
  <c r="J21" i="2"/>
  <c r="I43" i="2"/>
  <c r="I47" i="2"/>
  <c r="I35" i="2"/>
  <c r="I39" i="2"/>
  <c r="I21" i="2"/>
  <c r="I25" i="2"/>
  <c r="H47" i="2"/>
  <c r="H35" i="2"/>
  <c r="H43" i="2"/>
  <c r="H39" i="2"/>
  <c r="H21" i="2"/>
  <c r="H25" i="2"/>
  <c r="G7" i="2"/>
  <c r="O7" i="2"/>
  <c r="E12" i="2"/>
  <c r="M12" i="2"/>
  <c r="E30" i="2"/>
  <c r="M30" i="2"/>
  <c r="I7" i="2"/>
  <c r="G12" i="2"/>
  <c r="O12" i="2"/>
  <c r="G30" i="2"/>
  <c r="J7" i="2"/>
  <c r="C47" i="2"/>
  <c r="C7" i="2"/>
  <c r="I12" i="2"/>
  <c r="I30" i="2"/>
  <c r="L7" i="2"/>
  <c r="E7" i="2"/>
  <c r="C12" i="2"/>
  <c r="K30" i="2"/>
  <c r="C43" i="2"/>
  <c r="F7" i="2"/>
  <c r="D12" i="2"/>
  <c r="H7" i="2"/>
  <c r="F12" i="2"/>
  <c r="N12" i="2"/>
  <c r="F30" i="2"/>
  <c r="N30" i="2"/>
  <c r="C39" i="2"/>
  <c r="O30" i="2"/>
  <c r="H12" i="2"/>
  <c r="H30" i="2"/>
  <c r="K7" i="2"/>
  <c r="C35" i="2"/>
  <c r="D7" i="2"/>
  <c r="J12" i="2"/>
  <c r="J30" i="2"/>
  <c r="M7" i="2"/>
  <c r="K12" i="2"/>
  <c r="C30" i="2"/>
  <c r="N7" i="2"/>
  <c r="L12" i="2"/>
  <c r="D30" i="2"/>
  <c r="L30" i="2"/>
  <c r="C21" i="2"/>
  <c r="C25" i="2"/>
  <c r="G35" i="2"/>
  <c r="G43" i="2"/>
  <c r="G39" i="2"/>
  <c r="G25" i="2"/>
  <c r="G47" i="2"/>
  <c r="G21" i="2"/>
  <c r="R30" i="2"/>
  <c r="N43" i="2"/>
  <c r="N39" i="2"/>
  <c r="N47" i="2"/>
  <c r="N35" i="2"/>
  <c r="N25" i="2"/>
  <c r="N21" i="2"/>
  <c r="F39" i="2"/>
  <c r="F47" i="2"/>
  <c r="F43" i="2"/>
  <c r="F35" i="2"/>
  <c r="F25" i="2"/>
  <c r="F21" i="2"/>
  <c r="M43" i="2"/>
  <c r="M39" i="2"/>
  <c r="M35" i="2"/>
  <c r="Q30" i="2"/>
  <c r="M47" i="2"/>
  <c r="M25" i="2"/>
  <c r="M21" i="2"/>
  <c r="E43" i="2"/>
  <c r="E47" i="2"/>
  <c r="E39" i="2"/>
  <c r="E35" i="2"/>
  <c r="E25" i="2"/>
  <c r="E21" i="2"/>
  <c r="L39" i="2"/>
  <c r="P30" i="2"/>
  <c r="L47" i="2"/>
  <c r="L21" i="2"/>
  <c r="L35" i="2"/>
  <c r="L43" i="2"/>
  <c r="L25" i="2"/>
  <c r="D39" i="2"/>
  <c r="D35" i="2"/>
  <c r="D47" i="2"/>
  <c r="D21" i="2"/>
  <c r="D43" i="2"/>
  <c r="D25" i="2"/>
  <c r="K68" i="2"/>
  <c r="K59" i="2"/>
  <c r="K55" i="2"/>
  <c r="J68" i="2"/>
  <c r="J59" i="2"/>
  <c r="J55" i="2"/>
  <c r="I68" i="2"/>
  <c r="I59" i="2"/>
  <c r="I55" i="2"/>
  <c r="H68" i="2"/>
  <c r="H59" i="2"/>
  <c r="H55" i="2"/>
  <c r="C68" i="2"/>
  <c r="C55" i="2"/>
  <c r="C59" i="2"/>
  <c r="G68" i="2"/>
  <c r="G59" i="2"/>
  <c r="G55" i="2"/>
  <c r="N68" i="2"/>
  <c r="N55" i="2"/>
  <c r="N59" i="2"/>
  <c r="F68" i="2"/>
  <c r="F55" i="2"/>
  <c r="F59" i="2"/>
  <c r="M68" i="2"/>
  <c r="M59" i="2"/>
  <c r="M55" i="2"/>
  <c r="E68" i="2"/>
  <c r="E55" i="2"/>
  <c r="E59" i="2"/>
  <c r="L68" i="2"/>
  <c r="L55" i="2"/>
  <c r="L59" i="2"/>
  <c r="D68" i="2"/>
  <c r="D55" i="2"/>
  <c r="D59" i="2"/>
  <c r="K92" i="2"/>
  <c r="K88" i="2"/>
  <c r="K96" i="2"/>
  <c r="K104" i="2"/>
  <c r="K84" i="2"/>
  <c r="K100" i="2"/>
  <c r="J88" i="2"/>
  <c r="J104" i="2"/>
  <c r="J96" i="2"/>
  <c r="J84" i="2"/>
  <c r="J92" i="2"/>
  <c r="J100" i="2"/>
  <c r="I88" i="2"/>
  <c r="I96" i="2"/>
  <c r="I104" i="2"/>
  <c r="I84" i="2"/>
  <c r="I100" i="2"/>
  <c r="I92" i="2"/>
  <c r="H88" i="2"/>
  <c r="H104" i="2"/>
  <c r="H96" i="2"/>
  <c r="H84" i="2"/>
  <c r="H92" i="2"/>
  <c r="H100" i="2"/>
  <c r="C92" i="2"/>
  <c r="C88" i="2"/>
  <c r="C84" i="2"/>
  <c r="C104" i="2"/>
  <c r="C96" i="2"/>
  <c r="C100" i="2"/>
  <c r="G104" i="2"/>
  <c r="G96" i="2"/>
  <c r="G92" i="2"/>
  <c r="G88" i="2"/>
  <c r="G84" i="2"/>
  <c r="G100" i="2"/>
  <c r="N96" i="2"/>
  <c r="N84" i="2"/>
  <c r="N92" i="2"/>
  <c r="N88" i="2"/>
  <c r="N104" i="2"/>
  <c r="N100" i="2"/>
  <c r="F96" i="2"/>
  <c r="F84" i="2"/>
  <c r="F100" i="2"/>
  <c r="F92" i="2"/>
  <c r="F88" i="2"/>
  <c r="F104" i="2"/>
  <c r="M84" i="2"/>
  <c r="M100" i="2"/>
  <c r="M88" i="2"/>
  <c r="M92" i="2"/>
  <c r="M104" i="2"/>
  <c r="M96" i="2"/>
  <c r="E84" i="2"/>
  <c r="E100" i="2"/>
  <c r="E88" i="2"/>
  <c r="E104" i="2"/>
  <c r="E96" i="2"/>
  <c r="E92" i="2"/>
  <c r="L100" i="2"/>
  <c r="L92" i="2"/>
  <c r="L84" i="2"/>
  <c r="L88" i="2"/>
  <c r="L104" i="2"/>
  <c r="L96" i="2"/>
  <c r="D100" i="2"/>
  <c r="D92" i="2"/>
  <c r="D104" i="2"/>
  <c r="D96" i="2"/>
  <c r="D88" i="2"/>
  <c r="D84" i="2"/>
  <c r="O228" i="8"/>
  <c r="N228" i="8"/>
  <c r="M228" i="8"/>
  <c r="L228" i="8"/>
  <c r="K228" i="8"/>
  <c r="J228" i="8"/>
  <c r="I228" i="8"/>
  <c r="H228" i="8"/>
  <c r="G228" i="8"/>
  <c r="F228" i="8"/>
  <c r="E228" i="8"/>
  <c r="D228" i="8"/>
  <c r="C228" i="8"/>
  <c r="O221" i="8"/>
  <c r="N221" i="8"/>
  <c r="M221" i="8"/>
  <c r="L221" i="8"/>
  <c r="K221" i="8"/>
  <c r="J221" i="8"/>
  <c r="I221" i="8"/>
  <c r="H221" i="8"/>
  <c r="G221" i="8"/>
  <c r="F221" i="8"/>
  <c r="E221" i="8"/>
  <c r="D221" i="8"/>
  <c r="C221" i="8"/>
  <c r="O214" i="8"/>
  <c r="N214" i="8"/>
  <c r="M214" i="8"/>
  <c r="L214" i="8"/>
  <c r="K214" i="8"/>
  <c r="J214" i="8"/>
  <c r="I214" i="8"/>
  <c r="H214" i="8"/>
  <c r="G214" i="8"/>
  <c r="F214" i="8"/>
  <c r="E214" i="8"/>
  <c r="D214" i="8"/>
  <c r="C214" i="8"/>
  <c r="D207" i="8"/>
  <c r="D48" i="2" s="1"/>
  <c r="D51" i="2" s="1"/>
  <c r="E207" i="8"/>
  <c r="E48" i="2" s="1"/>
  <c r="E51" i="2" s="1"/>
  <c r="F207" i="8"/>
  <c r="F48" i="2" s="1"/>
  <c r="F51" i="2" s="1"/>
  <c r="G207" i="8"/>
  <c r="G48" i="2" s="1"/>
  <c r="G51" i="2" s="1"/>
  <c r="H207" i="8"/>
  <c r="H48" i="2" s="1"/>
  <c r="H51" i="2" s="1"/>
  <c r="I207" i="8"/>
  <c r="I48" i="2" s="1"/>
  <c r="I51" i="2" s="1"/>
  <c r="J207" i="8"/>
  <c r="J48" i="2" s="1"/>
  <c r="J51" i="2" s="1"/>
  <c r="K207" i="8"/>
  <c r="K48" i="2" s="1"/>
  <c r="K51" i="2" s="1"/>
  <c r="L207" i="8"/>
  <c r="L48" i="2" s="1"/>
  <c r="L51" i="2" s="1"/>
  <c r="M207" i="8"/>
  <c r="M48" i="2" s="1"/>
  <c r="M51" i="2" s="1"/>
  <c r="N207" i="8"/>
  <c r="N48" i="2" s="1"/>
  <c r="N51" i="2" s="1"/>
  <c r="O207" i="8"/>
  <c r="O48" i="2" s="1"/>
  <c r="O51" i="2" s="1"/>
  <c r="C207" i="8"/>
  <c r="C48" i="2" s="1"/>
  <c r="C51" i="2" s="1"/>
  <c r="J76" i="8" l="1"/>
  <c r="J65" i="8"/>
  <c r="J64" i="8"/>
  <c r="J62" i="8"/>
  <c r="J69" i="8" s="1"/>
  <c r="J63" i="8"/>
  <c r="J77" i="8" l="1"/>
  <c r="D76" i="8"/>
  <c r="D74" i="8"/>
  <c r="B73" i="8"/>
  <c r="F73" i="8" s="1"/>
  <c r="L73" i="8" s="1"/>
  <c r="P73" i="8" s="1"/>
  <c r="D72" i="8"/>
  <c r="D71" i="8"/>
  <c r="B66" i="8"/>
  <c r="F66" i="8" s="1"/>
  <c r="L66" i="8" s="1"/>
  <c r="P66" i="8" s="1"/>
  <c r="D65" i="8"/>
  <c r="B64" i="8"/>
  <c r="F64" i="8" s="1"/>
  <c r="L64" i="8" s="1"/>
  <c r="P64" i="8" s="1"/>
  <c r="D63" i="8"/>
  <c r="B61" i="8"/>
  <c r="D60" i="8"/>
  <c r="D59" i="8"/>
  <c r="W287" i="8"/>
  <c r="O287" i="8"/>
  <c r="N287" i="8"/>
  <c r="M287" i="8"/>
  <c r="L287" i="8"/>
  <c r="K287" i="8"/>
  <c r="J287" i="8"/>
  <c r="I287" i="8"/>
  <c r="H287" i="8"/>
  <c r="G287" i="8"/>
  <c r="F287" i="8"/>
  <c r="E287" i="8"/>
  <c r="D287" i="8"/>
  <c r="C287" i="8"/>
  <c r="O275" i="8"/>
  <c r="N275" i="8"/>
  <c r="M275" i="8"/>
  <c r="L275" i="8"/>
  <c r="K275" i="8"/>
  <c r="J275" i="8"/>
  <c r="I275" i="8"/>
  <c r="H275" i="8"/>
  <c r="G275" i="8"/>
  <c r="F275" i="8"/>
  <c r="E275" i="8"/>
  <c r="D275" i="8"/>
  <c r="C275" i="8"/>
  <c r="O271" i="8"/>
  <c r="N271" i="8"/>
  <c r="M271" i="8"/>
  <c r="L271" i="8"/>
  <c r="K271" i="8"/>
  <c r="J271" i="8"/>
  <c r="I271" i="8"/>
  <c r="H271" i="8"/>
  <c r="G271" i="8"/>
  <c r="F271" i="8"/>
  <c r="E271" i="8"/>
  <c r="D271" i="8"/>
  <c r="C271" i="8"/>
  <c r="O269" i="8"/>
  <c r="N269" i="8"/>
  <c r="M269" i="8"/>
  <c r="L269" i="8"/>
  <c r="K269" i="8"/>
  <c r="J269" i="8"/>
  <c r="I269" i="8"/>
  <c r="H269" i="8"/>
  <c r="G269" i="8"/>
  <c r="F269" i="8"/>
  <c r="E269" i="8"/>
  <c r="D269" i="8"/>
  <c r="C269" i="8"/>
  <c r="X258" i="8"/>
  <c r="O255" i="8"/>
  <c r="O256" i="8" s="1"/>
  <c r="N255" i="8"/>
  <c r="N256" i="8" s="1"/>
  <c r="M255" i="8"/>
  <c r="L255" i="8"/>
  <c r="L256" i="8" s="1"/>
  <c r="K255" i="8"/>
  <c r="K256" i="8" s="1"/>
  <c r="J255" i="8"/>
  <c r="J256" i="8" s="1"/>
  <c r="I255" i="8"/>
  <c r="H255" i="8"/>
  <c r="H256" i="8" s="1"/>
  <c r="G255" i="8"/>
  <c r="G256" i="8" s="1"/>
  <c r="F255" i="8"/>
  <c r="F256" i="8" s="1"/>
  <c r="E255" i="8"/>
  <c r="E256" i="8" s="1"/>
  <c r="D255" i="8"/>
  <c r="D256" i="8" s="1"/>
  <c r="C255" i="8"/>
  <c r="C256" i="8" s="1"/>
  <c r="O249" i="8"/>
  <c r="O250" i="8" s="1"/>
  <c r="N249" i="8"/>
  <c r="N250" i="8" s="1"/>
  <c r="M249" i="8"/>
  <c r="M250" i="8" s="1"/>
  <c r="L249" i="8"/>
  <c r="L250" i="8" s="1"/>
  <c r="K249" i="8"/>
  <c r="J249" i="8"/>
  <c r="J250" i="8" s="1"/>
  <c r="I249" i="8"/>
  <c r="I250" i="8" s="1"/>
  <c r="H249" i="8"/>
  <c r="H250" i="8" s="1"/>
  <c r="G249" i="8"/>
  <c r="G250" i="8" s="1"/>
  <c r="F249" i="8"/>
  <c r="F250" i="8" s="1"/>
  <c r="E249" i="8"/>
  <c r="E250" i="8" s="1"/>
  <c r="D249" i="8"/>
  <c r="D250" i="8" s="1"/>
  <c r="C249" i="8"/>
  <c r="C250" i="8" s="1"/>
  <c r="O244" i="8"/>
  <c r="O245" i="8" s="1"/>
  <c r="N244" i="8"/>
  <c r="N245" i="8" s="1"/>
  <c r="M244" i="8"/>
  <c r="M245" i="8" s="1"/>
  <c r="L244" i="8"/>
  <c r="L245" i="8" s="1"/>
  <c r="K244" i="8"/>
  <c r="J244" i="8"/>
  <c r="J245" i="8" s="1"/>
  <c r="I244" i="8"/>
  <c r="I245" i="8" s="1"/>
  <c r="H244" i="8"/>
  <c r="H245" i="8" s="1"/>
  <c r="G244" i="8"/>
  <c r="G245" i="8" s="1"/>
  <c r="F244" i="8"/>
  <c r="F245" i="8" s="1"/>
  <c r="E244" i="8"/>
  <c r="E245" i="8" s="1"/>
  <c r="D244" i="8"/>
  <c r="D245" i="8" s="1"/>
  <c r="C244" i="8"/>
  <c r="O239" i="8"/>
  <c r="O240" i="8" s="1"/>
  <c r="N239" i="8"/>
  <c r="N240" i="8" s="1"/>
  <c r="M239" i="8"/>
  <c r="M240" i="8" s="1"/>
  <c r="L239" i="8"/>
  <c r="L240" i="8" s="1"/>
  <c r="K239" i="8"/>
  <c r="J239" i="8"/>
  <c r="J240" i="8" s="1"/>
  <c r="I239" i="8"/>
  <c r="I240" i="8" s="1"/>
  <c r="H239" i="8"/>
  <c r="H240" i="8" s="1"/>
  <c r="G239" i="8"/>
  <c r="G240" i="8" s="1"/>
  <c r="F239" i="8"/>
  <c r="F240" i="8" s="1"/>
  <c r="E239" i="8"/>
  <c r="E240" i="8" s="1"/>
  <c r="D239" i="8"/>
  <c r="D240" i="8" s="1"/>
  <c r="C239" i="8"/>
  <c r="C240" i="8" s="1"/>
  <c r="M234" i="8"/>
  <c r="K234" i="8"/>
  <c r="J234" i="8"/>
  <c r="J235" i="8" s="1"/>
  <c r="I234" i="8"/>
  <c r="I235" i="8" s="1"/>
  <c r="H234" i="8"/>
  <c r="F234" i="8"/>
  <c r="E234" i="8"/>
  <c r="C234" i="8"/>
  <c r="O230" i="8"/>
  <c r="O231" i="8" s="1"/>
  <c r="N230" i="8"/>
  <c r="N231" i="8" s="1"/>
  <c r="M230" i="8"/>
  <c r="L230" i="8"/>
  <c r="L231" i="8" s="1"/>
  <c r="K230" i="8"/>
  <c r="J230" i="8"/>
  <c r="J231" i="8" s="1"/>
  <c r="I230" i="8"/>
  <c r="I231" i="8" s="1"/>
  <c r="H230" i="8"/>
  <c r="H231" i="8" s="1"/>
  <c r="G230" i="8"/>
  <c r="G231" i="8" s="1"/>
  <c r="F230" i="8"/>
  <c r="F231" i="8" s="1"/>
  <c r="E230" i="8"/>
  <c r="E231" i="8" s="1"/>
  <c r="D230" i="8"/>
  <c r="D231" i="8" s="1"/>
  <c r="C230" i="8"/>
  <c r="W228" i="8"/>
  <c r="O223" i="8"/>
  <c r="O224" i="8" s="1"/>
  <c r="N223" i="8"/>
  <c r="N224" i="8" s="1"/>
  <c r="M223" i="8"/>
  <c r="M224" i="8" s="1"/>
  <c r="L223" i="8"/>
  <c r="L224" i="8" s="1"/>
  <c r="K223" i="8"/>
  <c r="K224" i="8" s="1"/>
  <c r="J223" i="8"/>
  <c r="J224" i="8" s="1"/>
  <c r="I223" i="8"/>
  <c r="I224" i="8" s="1"/>
  <c r="H223" i="8"/>
  <c r="H224" i="8" s="1"/>
  <c r="G223" i="8"/>
  <c r="G224" i="8" s="1"/>
  <c r="F223" i="8"/>
  <c r="E223" i="8"/>
  <c r="E224" i="8" s="1"/>
  <c r="D223" i="8"/>
  <c r="D224" i="8" s="1"/>
  <c r="C223" i="8"/>
  <c r="C224" i="8" s="1"/>
  <c r="W221" i="8"/>
  <c r="O216" i="8"/>
  <c r="O217" i="8" s="1"/>
  <c r="N216" i="8"/>
  <c r="N217" i="8" s="1"/>
  <c r="M216" i="8"/>
  <c r="M217" i="8" s="1"/>
  <c r="L216" i="8"/>
  <c r="L217" i="8" s="1"/>
  <c r="K216" i="8"/>
  <c r="J216" i="8"/>
  <c r="J217" i="8" s="1"/>
  <c r="I216" i="8"/>
  <c r="I217" i="8" s="1"/>
  <c r="H216" i="8"/>
  <c r="H217" i="8" s="1"/>
  <c r="G216" i="8"/>
  <c r="G217" i="8" s="1"/>
  <c r="F216" i="8"/>
  <c r="F217" i="8" s="1"/>
  <c r="E216" i="8"/>
  <c r="E217" i="8" s="1"/>
  <c r="D216" i="8"/>
  <c r="D217" i="8" s="1"/>
  <c r="C216" i="8"/>
  <c r="W214" i="8"/>
  <c r="W207" i="8"/>
  <c r="O193" i="8"/>
  <c r="O73" i="2" s="1"/>
  <c r="N193" i="8"/>
  <c r="N73" i="2" s="1"/>
  <c r="M193" i="8"/>
  <c r="M73" i="2" s="1"/>
  <c r="L193" i="8"/>
  <c r="L73" i="2" s="1"/>
  <c r="K193" i="8"/>
  <c r="K73" i="2" s="1"/>
  <c r="J193" i="8"/>
  <c r="J73" i="2" s="1"/>
  <c r="I193" i="8"/>
  <c r="I73" i="2" s="1"/>
  <c r="H193" i="8"/>
  <c r="H73" i="2" s="1"/>
  <c r="G193" i="8"/>
  <c r="G73" i="2" s="1"/>
  <c r="F193" i="8"/>
  <c r="F73" i="2" s="1"/>
  <c r="E193" i="8"/>
  <c r="E73" i="2" s="1"/>
  <c r="D193" i="8"/>
  <c r="D73" i="2" s="1"/>
  <c r="C193" i="8"/>
  <c r="W193" i="8"/>
  <c r="O188" i="8"/>
  <c r="N188" i="8"/>
  <c r="M188" i="8"/>
  <c r="L188" i="8"/>
  <c r="K188" i="8"/>
  <c r="J188" i="8"/>
  <c r="I188" i="8"/>
  <c r="H188" i="8"/>
  <c r="G188" i="8"/>
  <c r="F188" i="8"/>
  <c r="E188" i="8"/>
  <c r="D188" i="8"/>
  <c r="C188" i="8"/>
  <c r="O186" i="8"/>
  <c r="N186" i="8"/>
  <c r="M186" i="8"/>
  <c r="L186" i="8"/>
  <c r="K186" i="8"/>
  <c r="J186" i="8"/>
  <c r="I186" i="8"/>
  <c r="H186" i="8"/>
  <c r="G186" i="8"/>
  <c r="F186" i="8"/>
  <c r="E186" i="8"/>
  <c r="D186" i="8"/>
  <c r="C186" i="8"/>
  <c r="W186" i="8"/>
  <c r="O179" i="8"/>
  <c r="O69" i="2" s="1"/>
  <c r="N179" i="8"/>
  <c r="N69" i="2" s="1"/>
  <c r="M179" i="8"/>
  <c r="M69" i="2" s="1"/>
  <c r="L179" i="8"/>
  <c r="L69" i="2" s="1"/>
  <c r="K179" i="8"/>
  <c r="K69" i="2" s="1"/>
  <c r="J179" i="8"/>
  <c r="J69" i="2" s="1"/>
  <c r="I179" i="8"/>
  <c r="I69" i="2" s="1"/>
  <c r="H179" i="8"/>
  <c r="H69" i="2" s="1"/>
  <c r="G179" i="8"/>
  <c r="G69" i="2" s="1"/>
  <c r="F179" i="8"/>
  <c r="F69" i="2" s="1"/>
  <c r="E179" i="8"/>
  <c r="E69" i="2" s="1"/>
  <c r="D179" i="8"/>
  <c r="D69" i="2" s="1"/>
  <c r="C179" i="8"/>
  <c r="C69" i="2" s="1"/>
  <c r="O172" i="8"/>
  <c r="O60" i="2" s="1"/>
  <c r="O64" i="2" s="1"/>
  <c r="N172" i="8"/>
  <c r="N60" i="2" s="1"/>
  <c r="N64" i="2" s="1"/>
  <c r="M172" i="8"/>
  <c r="M60" i="2" s="1"/>
  <c r="M64" i="2" s="1"/>
  <c r="L172" i="8"/>
  <c r="L60" i="2" s="1"/>
  <c r="L64" i="2" s="1"/>
  <c r="K172" i="8"/>
  <c r="K60" i="2" s="1"/>
  <c r="K64" i="2" s="1"/>
  <c r="J172" i="8"/>
  <c r="J60" i="2" s="1"/>
  <c r="J64" i="2" s="1"/>
  <c r="I172" i="8"/>
  <c r="I60" i="2" s="1"/>
  <c r="I64" i="2" s="1"/>
  <c r="H172" i="8"/>
  <c r="H60" i="2" s="1"/>
  <c r="H64" i="2" s="1"/>
  <c r="G172" i="8"/>
  <c r="G60" i="2" s="1"/>
  <c r="G64" i="2" s="1"/>
  <c r="F172" i="8"/>
  <c r="F60" i="2" s="1"/>
  <c r="F64" i="2" s="1"/>
  <c r="E172" i="8"/>
  <c r="E60" i="2" s="1"/>
  <c r="E64" i="2" s="1"/>
  <c r="D172" i="8"/>
  <c r="D60" i="2" s="1"/>
  <c r="D64" i="2" s="1"/>
  <c r="C172" i="8"/>
  <c r="C60" i="2" s="1"/>
  <c r="C64" i="2" s="1"/>
  <c r="O167" i="8"/>
  <c r="N167" i="8"/>
  <c r="M167" i="8"/>
  <c r="L167" i="8"/>
  <c r="K167" i="8"/>
  <c r="J167" i="8"/>
  <c r="I167" i="8"/>
  <c r="H167" i="8"/>
  <c r="G167" i="8"/>
  <c r="F167" i="8"/>
  <c r="E167" i="8"/>
  <c r="D167" i="8"/>
  <c r="C167" i="8"/>
  <c r="O165" i="8"/>
  <c r="N165" i="8"/>
  <c r="M165" i="8"/>
  <c r="L165" i="8"/>
  <c r="K165" i="8"/>
  <c r="J165" i="8"/>
  <c r="I165" i="8"/>
  <c r="H165" i="8"/>
  <c r="G165" i="8"/>
  <c r="F165" i="8"/>
  <c r="E165" i="8"/>
  <c r="D165" i="8"/>
  <c r="C165" i="8"/>
  <c r="O160" i="8"/>
  <c r="L160" i="8"/>
  <c r="K160" i="8"/>
  <c r="H160" i="8"/>
  <c r="G160" i="8"/>
  <c r="F160" i="8"/>
  <c r="D160" i="8"/>
  <c r="C160" i="8"/>
  <c r="O153" i="8"/>
  <c r="N153" i="8"/>
  <c r="M153" i="8"/>
  <c r="L153" i="8"/>
  <c r="K153" i="8"/>
  <c r="J153" i="8"/>
  <c r="I153" i="8"/>
  <c r="H153" i="8"/>
  <c r="G153" i="8"/>
  <c r="F153" i="8"/>
  <c r="E153" i="8"/>
  <c r="D153" i="8"/>
  <c r="C153" i="8"/>
  <c r="O139" i="8"/>
  <c r="N139" i="8"/>
  <c r="M139" i="8"/>
  <c r="L139" i="8"/>
  <c r="K139" i="8"/>
  <c r="J139" i="8"/>
  <c r="I139" i="8"/>
  <c r="H139" i="8"/>
  <c r="G139" i="8"/>
  <c r="F139" i="8"/>
  <c r="E139" i="8"/>
  <c r="D139" i="8"/>
  <c r="C139" i="8"/>
  <c r="O132" i="8"/>
  <c r="N132" i="8"/>
  <c r="M132" i="8"/>
  <c r="L132" i="8"/>
  <c r="K132" i="8"/>
  <c r="J132" i="8"/>
  <c r="I132" i="8"/>
  <c r="H132" i="8"/>
  <c r="G132" i="8"/>
  <c r="F132" i="8"/>
  <c r="E132" i="8"/>
  <c r="D132" i="8"/>
  <c r="O125" i="8"/>
  <c r="N125" i="8"/>
  <c r="M125" i="8"/>
  <c r="L125" i="8"/>
  <c r="K125" i="8"/>
  <c r="J125" i="8"/>
  <c r="I125" i="8"/>
  <c r="H125" i="8"/>
  <c r="G125" i="8"/>
  <c r="F125" i="8"/>
  <c r="E125" i="8"/>
  <c r="D125" i="8"/>
  <c r="W118" i="8"/>
  <c r="O118" i="8"/>
  <c r="N118" i="8"/>
  <c r="M118" i="8"/>
  <c r="L118" i="8"/>
  <c r="K118" i="8"/>
  <c r="J118" i="8"/>
  <c r="I118" i="8"/>
  <c r="H118" i="8"/>
  <c r="G118" i="8"/>
  <c r="F118" i="8"/>
  <c r="E118" i="8"/>
  <c r="D118" i="8"/>
  <c r="C118" i="8"/>
  <c r="N111" i="8"/>
  <c r="M111" i="8"/>
  <c r="K111" i="8"/>
  <c r="H111" i="8"/>
  <c r="F111" i="8"/>
  <c r="E111" i="8"/>
  <c r="D111" i="8"/>
  <c r="C111" i="8"/>
  <c r="X108" i="8"/>
  <c r="D83" i="8"/>
  <c r="C83" i="8" s="1"/>
  <c r="D81" i="8"/>
  <c r="C81" i="8" s="1"/>
  <c r="D80" i="8"/>
  <c r="C80" i="8" s="1"/>
  <c r="D79" i="8"/>
  <c r="C79" i="8" s="1"/>
  <c r="N77" i="8"/>
  <c r="N76" i="8"/>
  <c r="B76" i="8"/>
  <c r="F76" i="8" s="1"/>
  <c r="L76" i="8" s="1"/>
  <c r="O75" i="8"/>
  <c r="N75" i="8" s="1"/>
  <c r="N74" i="8"/>
  <c r="N73" i="8"/>
  <c r="N70" i="8"/>
  <c r="D70" i="8"/>
  <c r="N69" i="8"/>
  <c r="D69" i="8"/>
  <c r="N68" i="8"/>
  <c r="N67" i="8"/>
  <c r="N66" i="8"/>
  <c r="D66" i="8"/>
  <c r="N65" i="8"/>
  <c r="N64" i="8"/>
  <c r="D64" i="8"/>
  <c r="N63" i="8"/>
  <c r="N62" i="8"/>
  <c r="D62" i="8"/>
  <c r="B62" i="8"/>
  <c r="F62" i="8" s="1"/>
  <c r="L62" i="8" s="1"/>
  <c r="N61" i="8"/>
  <c r="D61" i="8"/>
  <c r="N60" i="8"/>
  <c r="N59" i="8"/>
  <c r="AA47" i="8"/>
  <c r="Y47" i="8"/>
  <c r="AA46" i="8"/>
  <c r="Y46" i="8"/>
  <c r="AA45" i="8"/>
  <c r="Y45" i="8"/>
  <c r="AA44" i="8"/>
  <c r="Y44" i="8"/>
  <c r="AA43" i="8"/>
  <c r="Y43" i="8"/>
  <c r="AA42" i="8"/>
  <c r="Y42" i="8"/>
  <c r="AA41" i="8"/>
  <c r="Y41" i="8"/>
  <c r="AA40" i="8"/>
  <c r="Y40" i="8"/>
  <c r="AA36" i="8"/>
  <c r="Y36" i="8"/>
  <c r="AA33" i="8"/>
  <c r="Y33" i="8"/>
  <c r="AA32" i="8"/>
  <c r="Y32" i="8"/>
  <c r="AA31" i="8"/>
  <c r="Y31" i="8"/>
  <c r="AA29" i="8"/>
  <c r="Y29" i="8"/>
  <c r="AA28" i="8"/>
  <c r="Y28" i="8"/>
  <c r="AA27" i="8"/>
  <c r="Y27" i="8"/>
  <c r="AA26" i="8"/>
  <c r="Y26" i="8"/>
  <c r="AA25" i="8"/>
  <c r="Y25" i="8"/>
  <c r="G20" i="8"/>
  <c r="C73" i="2" l="1"/>
  <c r="D68" i="8"/>
  <c r="C60" i="8"/>
  <c r="B74" i="8"/>
  <c r="F74" i="8" s="1"/>
  <c r="L74" i="8" s="1"/>
  <c r="P74" i="8" s="1"/>
  <c r="B63" i="8"/>
  <c r="F63" i="8" s="1"/>
  <c r="L63" i="8" s="1"/>
  <c r="M63" i="8" s="1"/>
  <c r="C62" i="8"/>
  <c r="D73" i="8"/>
  <c r="C73" i="8" s="1"/>
  <c r="B75" i="8"/>
  <c r="F75" i="8" s="1"/>
  <c r="L75" i="8" s="1"/>
  <c r="P75" i="8" s="1"/>
  <c r="D75" i="8"/>
  <c r="P144" i="8"/>
  <c r="L144" i="8"/>
  <c r="D144" i="8"/>
  <c r="H144" i="8"/>
  <c r="E144" i="8"/>
  <c r="K144" i="8"/>
  <c r="C144" i="8"/>
  <c r="J144" i="8"/>
  <c r="G144" i="8"/>
  <c r="F144" i="8"/>
  <c r="M144" i="8"/>
  <c r="O144" i="8"/>
  <c r="E82" i="8"/>
  <c r="C76" i="8"/>
  <c r="B65" i="8"/>
  <c r="F65" i="8" s="1"/>
  <c r="L65" i="8" s="1"/>
  <c r="P65" i="8" s="1"/>
  <c r="C66" i="8"/>
  <c r="C69" i="8"/>
  <c r="O189" i="8"/>
  <c r="M189" i="8"/>
  <c r="Z25" i="8"/>
  <c r="Z42" i="8"/>
  <c r="Z32" i="8"/>
  <c r="Z40" i="8"/>
  <c r="Z29" i="8"/>
  <c r="J168" i="8"/>
  <c r="H189" i="8"/>
  <c r="Z27" i="8"/>
  <c r="F288" i="8"/>
  <c r="N288" i="8"/>
  <c r="N234" i="8"/>
  <c r="N235" i="8" s="1"/>
  <c r="Z46" i="8"/>
  <c r="N189" i="8"/>
  <c r="Z44" i="8"/>
  <c r="X221" i="8"/>
  <c r="X214" i="8"/>
  <c r="X200" i="8"/>
  <c r="X193" i="8"/>
  <c r="X186" i="8"/>
  <c r="G189" i="8"/>
  <c r="D189" i="8"/>
  <c r="X179" i="8"/>
  <c r="X172" i="8"/>
  <c r="W172" i="8"/>
  <c r="O168" i="8"/>
  <c r="N168" i="8"/>
  <c r="K168" i="8"/>
  <c r="F168" i="8"/>
  <c r="C168" i="8"/>
  <c r="X165" i="8"/>
  <c r="O161" i="8"/>
  <c r="D161" i="8"/>
  <c r="D168" i="8"/>
  <c r="E189" i="8"/>
  <c r="H168" i="8"/>
  <c r="I189" i="8"/>
  <c r="I256" i="8"/>
  <c r="M256" i="8"/>
  <c r="L72" i="8"/>
  <c r="P72" i="8" s="1"/>
  <c r="C64" i="8"/>
  <c r="C59" i="8"/>
  <c r="P76" i="8"/>
  <c r="M76" i="8"/>
  <c r="L71" i="8"/>
  <c r="L70" i="8"/>
  <c r="P70" i="8" s="1"/>
  <c r="I144" i="8"/>
  <c r="C70" i="8"/>
  <c r="L69" i="8"/>
  <c r="P69" i="8" s="1"/>
  <c r="M64" i="8"/>
  <c r="C61" i="8"/>
  <c r="M66" i="8"/>
  <c r="M62" i="8"/>
  <c r="P62" i="8"/>
  <c r="W125" i="8"/>
  <c r="Z26" i="8"/>
  <c r="Z28" i="8"/>
  <c r="X288" i="8"/>
  <c r="Z33" i="8"/>
  <c r="F61" i="8"/>
  <c r="L61" i="8" s="1"/>
  <c r="D77" i="8"/>
  <c r="B77" i="8"/>
  <c r="W266" i="8"/>
  <c r="W132" i="8"/>
  <c r="X272" i="8"/>
  <c r="Z31" i="8"/>
  <c r="X266" i="8"/>
  <c r="Z41" i="8"/>
  <c r="Z43" i="8"/>
  <c r="Z45" i="8"/>
  <c r="Z47" i="8"/>
  <c r="I168" i="8"/>
  <c r="X278" i="8"/>
  <c r="X284" i="8" s="1"/>
  <c r="B67" i="8"/>
  <c r="F67" i="8" s="1"/>
  <c r="L67" i="8" s="1"/>
  <c r="P67" i="8" s="1"/>
  <c r="W239" i="8"/>
  <c r="W255" i="8"/>
  <c r="W216" i="8"/>
  <c r="W217" i="8" s="1"/>
  <c r="W188" i="8"/>
  <c r="W230" i="8"/>
  <c r="W234" i="8"/>
  <c r="W181" i="8"/>
  <c r="W146" i="8"/>
  <c r="W153" i="8"/>
  <c r="X105" i="8"/>
  <c r="X160" i="8" s="1"/>
  <c r="W167" i="8"/>
  <c r="W209" i="8"/>
  <c r="W210" i="8" s="1"/>
  <c r="W160" i="8"/>
  <c r="K161" i="8"/>
  <c r="M73" i="8"/>
  <c r="J111" i="8"/>
  <c r="W174" i="8"/>
  <c r="D67" i="8"/>
  <c r="L111" i="8"/>
  <c r="F161" i="8"/>
  <c r="Z36" i="8"/>
  <c r="W111" i="8"/>
  <c r="W275" i="8"/>
  <c r="J160" i="8"/>
  <c r="C161" i="8"/>
  <c r="E168" i="8"/>
  <c r="M168" i="8"/>
  <c r="L189" i="8"/>
  <c r="W195" i="8"/>
  <c r="G168" i="8"/>
  <c r="L168" i="8"/>
  <c r="F189" i="8"/>
  <c r="M289" i="8"/>
  <c r="M235" i="8"/>
  <c r="E160" i="8"/>
  <c r="M160" i="8"/>
  <c r="W165" i="8"/>
  <c r="W271" i="8"/>
  <c r="K217" i="8"/>
  <c r="G111" i="8"/>
  <c r="O111" i="8"/>
  <c r="W157" i="8"/>
  <c r="V100" i="11" s="1"/>
  <c r="N160" i="8"/>
  <c r="G161" i="8"/>
  <c r="W200" i="8"/>
  <c r="C231" i="8"/>
  <c r="K231" i="8"/>
  <c r="I111" i="8"/>
  <c r="L161" i="8"/>
  <c r="J189" i="8"/>
  <c r="W223" i="8"/>
  <c r="I160" i="8"/>
  <c r="C189" i="8"/>
  <c r="K189" i="8"/>
  <c r="W202" i="8"/>
  <c r="W272" i="8"/>
  <c r="G234" i="8"/>
  <c r="G288" i="8"/>
  <c r="O288" i="8"/>
  <c r="O234" i="8"/>
  <c r="W278" i="8"/>
  <c r="W284" i="8" s="1"/>
  <c r="W269" i="8"/>
  <c r="X207" i="8"/>
  <c r="F224" i="8"/>
  <c r="C245" i="8"/>
  <c r="K245" i="8"/>
  <c r="C217" i="8"/>
  <c r="M231" i="8"/>
  <c r="E289" i="8"/>
  <c r="E235" i="8"/>
  <c r="J290" i="8"/>
  <c r="H161" i="8"/>
  <c r="C289" i="8"/>
  <c r="C235" i="8"/>
  <c r="K289" i="8"/>
  <c r="K235" i="8"/>
  <c r="H289" i="8"/>
  <c r="H235" i="8"/>
  <c r="K240" i="8"/>
  <c r="D288" i="8"/>
  <c r="D234" i="8"/>
  <c r="L288" i="8"/>
  <c r="L234" i="8"/>
  <c r="I290" i="8"/>
  <c r="W244" i="8"/>
  <c r="W179" i="8"/>
  <c r="X228" i="8"/>
  <c r="I288" i="8"/>
  <c r="J289" i="8"/>
  <c r="J288" i="8"/>
  <c r="W249" i="8"/>
  <c r="C288" i="8"/>
  <c r="K288" i="8"/>
  <c r="E288" i="8"/>
  <c r="M288" i="8"/>
  <c r="F235" i="8"/>
  <c r="F289" i="8"/>
  <c r="K250" i="8"/>
  <c r="X287" i="8"/>
  <c r="H288" i="8"/>
  <c r="W288" i="8"/>
  <c r="I289" i="8"/>
  <c r="X157" i="8" l="1"/>
  <c r="X158" i="8" s="1"/>
  <c r="W158" i="8"/>
  <c r="W161" i="8" s="1"/>
  <c r="P63" i="8"/>
  <c r="N144" i="8"/>
  <c r="W142" i="8"/>
  <c r="X142" i="8" s="1"/>
  <c r="M74" i="8"/>
  <c r="M75" i="8"/>
  <c r="C74" i="8"/>
  <c r="C63" i="8"/>
  <c r="C75" i="8"/>
  <c r="M65" i="8"/>
  <c r="P116" i="8"/>
  <c r="H116" i="8"/>
  <c r="F116" i="8"/>
  <c r="I116" i="8"/>
  <c r="O116" i="8"/>
  <c r="G116" i="8"/>
  <c r="K116" i="8"/>
  <c r="J116" i="8"/>
  <c r="N116" i="8"/>
  <c r="E116" i="8"/>
  <c r="L116" i="8"/>
  <c r="D116" i="8"/>
  <c r="C116" i="8"/>
  <c r="C65" i="8"/>
  <c r="P137" i="8"/>
  <c r="I137" i="8"/>
  <c r="I140" i="8" s="1"/>
  <c r="L137" i="8"/>
  <c r="L140" i="8" s="1"/>
  <c r="H137" i="8"/>
  <c r="C137" i="8"/>
  <c r="G137" i="8"/>
  <c r="G140" i="8" s="1"/>
  <c r="E137" i="8"/>
  <c r="E140" i="8" s="1"/>
  <c r="F137" i="8"/>
  <c r="F140" i="8" s="1"/>
  <c r="M137" i="8"/>
  <c r="D137" i="8"/>
  <c r="D140" i="8" s="1"/>
  <c r="K137" i="8"/>
  <c r="K140" i="8" s="1"/>
  <c r="J137" i="8"/>
  <c r="E84" i="8"/>
  <c r="I83" i="8" s="1"/>
  <c r="J71" i="8"/>
  <c r="G82" i="8"/>
  <c r="N289" i="8"/>
  <c r="W231" i="8"/>
  <c r="W189" i="8"/>
  <c r="W175" i="8"/>
  <c r="X275" i="8"/>
  <c r="N161" i="8"/>
  <c r="X146" i="8"/>
  <c r="X167" i="8"/>
  <c r="X188" i="8"/>
  <c r="X249" i="8"/>
  <c r="W224" i="8"/>
  <c r="X239" i="8"/>
  <c r="X223" i="8"/>
  <c r="X230" i="8"/>
  <c r="N72" i="8"/>
  <c r="M70" i="8"/>
  <c r="M69" i="8"/>
  <c r="M67" i="8"/>
  <c r="L59" i="8"/>
  <c r="C77" i="8"/>
  <c r="D82" i="8"/>
  <c r="D84" i="8" s="1"/>
  <c r="P71" i="8"/>
  <c r="N71" i="8"/>
  <c r="C67" i="8"/>
  <c r="X271" i="8"/>
  <c r="P61" i="8"/>
  <c r="Q61" i="8"/>
  <c r="C290" i="8"/>
  <c r="W196" i="8"/>
  <c r="M161" i="8"/>
  <c r="M290" i="8"/>
  <c r="X216" i="8"/>
  <c r="L60" i="8"/>
  <c r="X153" i="8"/>
  <c r="W168" i="8"/>
  <c r="W289" i="8"/>
  <c r="W235" i="8"/>
  <c r="J161" i="8"/>
  <c r="X139" i="8"/>
  <c r="H290" i="8"/>
  <c r="W279" i="8"/>
  <c r="W285" i="8" s="1"/>
  <c r="X111" i="8"/>
  <c r="X174" i="8"/>
  <c r="X181" i="8"/>
  <c r="X118" i="8"/>
  <c r="F290" i="8"/>
  <c r="W182" i="8"/>
  <c r="L289" i="8"/>
  <c r="L235" i="8"/>
  <c r="E290" i="8"/>
  <c r="W203" i="8"/>
  <c r="W273" i="8"/>
  <c r="X195" i="8"/>
  <c r="X196" i="8" s="1"/>
  <c r="G61" i="8"/>
  <c r="F77" i="8"/>
  <c r="L77" i="8" s="1"/>
  <c r="O289" i="8"/>
  <c r="O235" i="8"/>
  <c r="N290" i="8"/>
  <c r="G289" i="8"/>
  <c r="G235" i="8"/>
  <c r="X202" i="8"/>
  <c r="M61" i="8"/>
  <c r="W250" i="8"/>
  <c r="D289" i="8"/>
  <c r="D235" i="8"/>
  <c r="K290" i="8"/>
  <c r="X269" i="8"/>
  <c r="E161" i="8"/>
  <c r="W277" i="8"/>
  <c r="W256" i="8"/>
  <c r="X244" i="8"/>
  <c r="X234" i="8"/>
  <c r="X132" i="8"/>
  <c r="W245" i="8"/>
  <c r="I161" i="8"/>
  <c r="W267" i="8"/>
  <c r="W240" i="8"/>
  <c r="X209" i="8"/>
  <c r="X255" i="8"/>
  <c r="X125" i="8"/>
  <c r="W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C249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C244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C239" i="1"/>
  <c r="V121" i="8" l="1"/>
  <c r="N121" i="8"/>
  <c r="F121" i="8"/>
  <c r="U121" i="8"/>
  <c r="M121" i="8"/>
  <c r="E121" i="8"/>
  <c r="T121" i="8"/>
  <c r="L121" i="8"/>
  <c r="L123" i="8" s="1"/>
  <c r="D121" i="8"/>
  <c r="H121" i="8"/>
  <c r="G121" i="8"/>
  <c r="S121" i="8"/>
  <c r="K121" i="8"/>
  <c r="C121" i="8"/>
  <c r="C123" i="8" s="1"/>
  <c r="C126" i="8" s="1"/>
  <c r="R121" i="8"/>
  <c r="J121" i="8"/>
  <c r="J123" i="8" s="1"/>
  <c r="Q121" i="8"/>
  <c r="I121" i="8"/>
  <c r="P121" i="8"/>
  <c r="P123" i="8" s="1"/>
  <c r="O121" i="8"/>
  <c r="W121" i="8" s="1"/>
  <c r="X121" i="8" s="1"/>
  <c r="I123" i="8"/>
  <c r="E123" i="8"/>
  <c r="G123" i="8"/>
  <c r="N137" i="8"/>
  <c r="N140" i="8" s="1"/>
  <c r="W135" i="8"/>
  <c r="X135" i="8" s="1"/>
  <c r="X137" i="8" s="1"/>
  <c r="Z140" i="8" s="1"/>
  <c r="H140" i="8"/>
  <c r="C140" i="8"/>
  <c r="J140" i="8"/>
  <c r="I84" i="8"/>
  <c r="O137" i="8"/>
  <c r="K123" i="8"/>
  <c r="O123" i="8"/>
  <c r="F123" i="8"/>
  <c r="H123" i="8"/>
  <c r="D123" i="8"/>
  <c r="M109" i="8"/>
  <c r="E109" i="8"/>
  <c r="H109" i="8"/>
  <c r="G109" i="8"/>
  <c r="L109" i="8"/>
  <c r="K109" i="8"/>
  <c r="N109" i="8"/>
  <c r="C109" i="8"/>
  <c r="J109" i="8"/>
  <c r="I109" i="8"/>
  <c r="F109" i="8"/>
  <c r="P119" i="8"/>
  <c r="P140" i="8"/>
  <c r="X189" i="8"/>
  <c r="X279" i="8"/>
  <c r="X285" i="8" s="1"/>
  <c r="X168" i="8"/>
  <c r="X273" i="8"/>
  <c r="X231" i="8"/>
  <c r="W274" i="8"/>
  <c r="X224" i="8"/>
  <c r="X240" i="8"/>
  <c r="X250" i="8"/>
  <c r="P77" i="8"/>
  <c r="M77" i="8"/>
  <c r="X182" i="8"/>
  <c r="N119" i="8"/>
  <c r="G119" i="8"/>
  <c r="X289" i="8"/>
  <c r="X235" i="8"/>
  <c r="X175" i="8"/>
  <c r="H119" i="8"/>
  <c r="O119" i="8"/>
  <c r="X210" i="8"/>
  <c r="X267" i="8"/>
  <c r="J119" i="8"/>
  <c r="I119" i="8"/>
  <c r="X217" i="8"/>
  <c r="W144" i="8"/>
  <c r="X144" i="8"/>
  <c r="Z147" i="8" s="1"/>
  <c r="X277" i="8"/>
  <c r="X161" i="8"/>
  <c r="L119" i="8"/>
  <c r="X256" i="8"/>
  <c r="X203" i="8"/>
  <c r="O290" i="8"/>
  <c r="L290" i="8"/>
  <c r="P59" i="8"/>
  <c r="M59" i="8"/>
  <c r="C119" i="8"/>
  <c r="W280" i="8"/>
  <c r="X245" i="8"/>
  <c r="D119" i="8"/>
  <c r="K119" i="8"/>
  <c r="D290" i="8"/>
  <c r="P60" i="8"/>
  <c r="M60" i="8"/>
  <c r="E119" i="8"/>
  <c r="G290" i="8"/>
  <c r="M140" i="8"/>
  <c r="D109" i="8"/>
  <c r="W290" i="8"/>
  <c r="F119" i="8"/>
  <c r="M116" i="8"/>
  <c r="J38" i="1"/>
  <c r="N123" i="8" l="1"/>
  <c r="N126" i="8" s="1"/>
  <c r="W137" i="8"/>
  <c r="W140" i="8" s="1"/>
  <c r="O109" i="8"/>
  <c r="P126" i="8"/>
  <c r="P109" i="8"/>
  <c r="O140" i="8"/>
  <c r="G126" i="8"/>
  <c r="E112" i="8"/>
  <c r="F112" i="8"/>
  <c r="I112" i="8"/>
  <c r="X290" i="8"/>
  <c r="L112" i="8"/>
  <c r="X147" i="8"/>
  <c r="X274" i="8"/>
  <c r="J126" i="8"/>
  <c r="H126" i="8"/>
  <c r="W147" i="8"/>
  <c r="M112" i="8"/>
  <c r="G112" i="8"/>
  <c r="C112" i="8"/>
  <c r="N112" i="8"/>
  <c r="W109" i="8"/>
  <c r="L126" i="8"/>
  <c r="I126" i="8"/>
  <c r="X116" i="8"/>
  <c r="Z119" i="8" s="1"/>
  <c r="W116" i="8"/>
  <c r="J112" i="8"/>
  <c r="O126" i="8"/>
  <c r="E126" i="8"/>
  <c r="H112" i="8"/>
  <c r="M119" i="8"/>
  <c r="D126" i="8"/>
  <c r="M123" i="8"/>
  <c r="X140" i="8"/>
  <c r="F126" i="8"/>
  <c r="K126" i="8"/>
  <c r="X280" i="8"/>
  <c r="D112" i="8"/>
  <c r="K112" i="8"/>
  <c r="D193" i="1"/>
  <c r="E193" i="1"/>
  <c r="F193" i="1"/>
  <c r="G193" i="1"/>
  <c r="H193" i="1"/>
  <c r="I193" i="1"/>
  <c r="J193" i="1"/>
  <c r="K193" i="1"/>
  <c r="L193" i="1"/>
  <c r="M193" i="1"/>
  <c r="N193" i="1"/>
  <c r="O193" i="1"/>
  <c r="D186" i="1"/>
  <c r="E186" i="1"/>
  <c r="F186" i="1"/>
  <c r="G186" i="1"/>
  <c r="H186" i="1"/>
  <c r="I186" i="1"/>
  <c r="J186" i="1"/>
  <c r="K186" i="1"/>
  <c r="L186" i="1"/>
  <c r="M186" i="1"/>
  <c r="N186" i="1"/>
  <c r="O186" i="1"/>
  <c r="D179" i="1"/>
  <c r="E179" i="1"/>
  <c r="F179" i="1"/>
  <c r="G179" i="1"/>
  <c r="H179" i="1"/>
  <c r="I179" i="1"/>
  <c r="J179" i="1"/>
  <c r="K179" i="1"/>
  <c r="L179" i="1"/>
  <c r="M179" i="1"/>
  <c r="N179" i="1"/>
  <c r="O179" i="1"/>
  <c r="D150" i="1"/>
  <c r="E150" i="1"/>
  <c r="F150" i="1"/>
  <c r="G150" i="1"/>
  <c r="H150" i="1"/>
  <c r="I150" i="1"/>
  <c r="J150" i="1"/>
  <c r="K150" i="1"/>
  <c r="L150" i="1"/>
  <c r="M150" i="1"/>
  <c r="N150" i="1"/>
  <c r="O150" i="1"/>
  <c r="D198" i="1"/>
  <c r="E198" i="1"/>
  <c r="F198" i="1"/>
  <c r="G198" i="1"/>
  <c r="H198" i="1"/>
  <c r="I198" i="1"/>
  <c r="J198" i="1"/>
  <c r="K198" i="1"/>
  <c r="L198" i="1"/>
  <c r="M198" i="1"/>
  <c r="N198" i="1"/>
  <c r="O198" i="1"/>
  <c r="P199" i="1" s="1"/>
  <c r="D203" i="1"/>
  <c r="E203" i="1"/>
  <c r="F203" i="1"/>
  <c r="G203" i="1"/>
  <c r="H203" i="1"/>
  <c r="I203" i="1"/>
  <c r="J203" i="1"/>
  <c r="K203" i="1"/>
  <c r="L203" i="1"/>
  <c r="M203" i="1"/>
  <c r="N203" i="1"/>
  <c r="O203" i="1"/>
  <c r="D208" i="1"/>
  <c r="E208" i="1"/>
  <c r="F208" i="1"/>
  <c r="G208" i="1"/>
  <c r="H208" i="1"/>
  <c r="I208" i="1"/>
  <c r="J208" i="1"/>
  <c r="K208" i="1"/>
  <c r="L208" i="1"/>
  <c r="M208" i="1"/>
  <c r="N208" i="1"/>
  <c r="O208" i="1"/>
  <c r="D213" i="1"/>
  <c r="E213" i="1"/>
  <c r="F213" i="1"/>
  <c r="G213" i="1"/>
  <c r="H213" i="1"/>
  <c r="I213" i="1"/>
  <c r="J213" i="1"/>
  <c r="K213" i="1"/>
  <c r="L213" i="1"/>
  <c r="M213" i="1"/>
  <c r="N213" i="1"/>
  <c r="O213" i="1"/>
  <c r="D220" i="1"/>
  <c r="E220" i="1"/>
  <c r="F220" i="1"/>
  <c r="G220" i="1"/>
  <c r="H220" i="1"/>
  <c r="I220" i="1"/>
  <c r="J220" i="1"/>
  <c r="K220" i="1"/>
  <c r="L220" i="1"/>
  <c r="M220" i="1"/>
  <c r="N220" i="1"/>
  <c r="O220" i="1"/>
  <c r="C220" i="1"/>
  <c r="C213" i="1"/>
  <c r="C208" i="1"/>
  <c r="C203" i="1"/>
  <c r="C198" i="1"/>
  <c r="C193" i="1"/>
  <c r="C186" i="1"/>
  <c r="C179" i="1"/>
  <c r="C150" i="1"/>
  <c r="D129" i="1"/>
  <c r="E129" i="1"/>
  <c r="F129" i="1"/>
  <c r="G129" i="1"/>
  <c r="H129" i="1"/>
  <c r="I129" i="1"/>
  <c r="J129" i="1"/>
  <c r="K129" i="1"/>
  <c r="L129" i="1"/>
  <c r="M129" i="1"/>
  <c r="N129" i="1"/>
  <c r="O129" i="1"/>
  <c r="D122" i="1"/>
  <c r="E122" i="1"/>
  <c r="F122" i="1"/>
  <c r="G122" i="1"/>
  <c r="H122" i="1"/>
  <c r="I122" i="1"/>
  <c r="J122" i="1"/>
  <c r="K122" i="1"/>
  <c r="L122" i="1"/>
  <c r="M122" i="1"/>
  <c r="N122" i="1"/>
  <c r="O122" i="1"/>
  <c r="D115" i="1"/>
  <c r="E115" i="1"/>
  <c r="F115" i="1"/>
  <c r="G115" i="1"/>
  <c r="H115" i="1"/>
  <c r="I115" i="1"/>
  <c r="J115" i="1"/>
  <c r="K115" i="1"/>
  <c r="L115" i="1"/>
  <c r="M115" i="1"/>
  <c r="N115" i="1"/>
  <c r="O115" i="1"/>
  <c r="C129" i="1"/>
  <c r="C122" i="1"/>
  <c r="C115" i="1"/>
  <c r="D100" i="1"/>
  <c r="E100" i="1"/>
  <c r="F100" i="1"/>
  <c r="G100" i="1"/>
  <c r="H100" i="1"/>
  <c r="I100" i="1"/>
  <c r="J100" i="1"/>
  <c r="K100" i="1"/>
  <c r="L100" i="1"/>
  <c r="M100" i="1"/>
  <c r="N100" i="1"/>
  <c r="O100" i="1"/>
  <c r="D93" i="1"/>
  <c r="E93" i="1"/>
  <c r="F93" i="1"/>
  <c r="G93" i="1"/>
  <c r="H93" i="1"/>
  <c r="I93" i="1"/>
  <c r="J93" i="1"/>
  <c r="K93" i="1"/>
  <c r="L93" i="1"/>
  <c r="M93" i="1"/>
  <c r="N93" i="1"/>
  <c r="O93" i="1"/>
  <c r="C100" i="1"/>
  <c r="C93" i="1"/>
  <c r="D85" i="1"/>
  <c r="E85" i="1"/>
  <c r="F85" i="1"/>
  <c r="G85" i="1"/>
  <c r="H85" i="1"/>
  <c r="I85" i="1"/>
  <c r="J85" i="1"/>
  <c r="K85" i="1"/>
  <c r="L85" i="1"/>
  <c r="M85" i="1"/>
  <c r="N85" i="1"/>
  <c r="O85" i="1"/>
  <c r="C85" i="1"/>
  <c r="D78" i="1"/>
  <c r="E78" i="1"/>
  <c r="F78" i="1"/>
  <c r="G78" i="1"/>
  <c r="H78" i="1"/>
  <c r="I78" i="1"/>
  <c r="J78" i="1"/>
  <c r="K78" i="1"/>
  <c r="L78" i="1"/>
  <c r="M78" i="1"/>
  <c r="N78" i="1"/>
  <c r="O78" i="1"/>
  <c r="C78" i="1"/>
  <c r="D71" i="1"/>
  <c r="E71" i="1"/>
  <c r="F71" i="1"/>
  <c r="G71" i="1"/>
  <c r="H71" i="1"/>
  <c r="I71" i="1"/>
  <c r="J71" i="1"/>
  <c r="K71" i="1"/>
  <c r="L71" i="1"/>
  <c r="M71" i="1"/>
  <c r="N71" i="1"/>
  <c r="O71" i="1"/>
  <c r="C71" i="1"/>
  <c r="D28" i="1"/>
  <c r="E28" i="1"/>
  <c r="F28" i="1"/>
  <c r="G28" i="1"/>
  <c r="H28" i="1"/>
  <c r="I28" i="1"/>
  <c r="J28" i="1"/>
  <c r="K28" i="1"/>
  <c r="L28" i="1"/>
  <c r="M28" i="1"/>
  <c r="N28" i="1"/>
  <c r="O28" i="1"/>
  <c r="N67" i="9" s="1"/>
  <c r="C28" i="1"/>
  <c r="D30" i="1"/>
  <c r="E30" i="1"/>
  <c r="F30" i="1"/>
  <c r="G30" i="1"/>
  <c r="H30" i="1"/>
  <c r="I30" i="1"/>
  <c r="J30" i="1"/>
  <c r="K30" i="1"/>
  <c r="L30" i="1"/>
  <c r="M30" i="1"/>
  <c r="N30" i="1"/>
  <c r="O30" i="1"/>
  <c r="N69" i="9" s="1"/>
  <c r="C30" i="1"/>
  <c r="D32" i="1"/>
  <c r="E32" i="1"/>
  <c r="F32" i="1"/>
  <c r="G32" i="1"/>
  <c r="H32" i="1"/>
  <c r="I32" i="1"/>
  <c r="J32" i="1"/>
  <c r="K32" i="1"/>
  <c r="L32" i="1"/>
  <c r="M32" i="1"/>
  <c r="N32" i="1"/>
  <c r="O32" i="1"/>
  <c r="N71" i="9" s="1"/>
  <c r="C32" i="1"/>
  <c r="O141" i="10" l="1"/>
  <c r="O112" i="8"/>
  <c r="P112" i="8"/>
  <c r="D54" i="8"/>
  <c r="C71" i="9"/>
  <c r="K54" i="8"/>
  <c r="J71" i="9"/>
  <c r="C52" i="8"/>
  <c r="B69" i="9"/>
  <c r="H52" i="8"/>
  <c r="G69" i="9"/>
  <c r="M50" i="8"/>
  <c r="L67" i="9"/>
  <c r="E50" i="8"/>
  <c r="D67" i="9"/>
  <c r="F50" i="8"/>
  <c r="E67" i="9"/>
  <c r="I52" i="8"/>
  <c r="H69" i="9"/>
  <c r="D50" i="8"/>
  <c r="C67" i="9"/>
  <c r="I54" i="8"/>
  <c r="H71" i="9"/>
  <c r="N52" i="8"/>
  <c r="M69" i="9"/>
  <c r="F52" i="8"/>
  <c r="E69" i="9"/>
  <c r="K50" i="8"/>
  <c r="J67" i="9"/>
  <c r="N50" i="8"/>
  <c r="M67" i="9"/>
  <c r="G52" i="8"/>
  <c r="F69" i="9"/>
  <c r="C54" i="8"/>
  <c r="B71" i="9"/>
  <c r="J50" i="8"/>
  <c r="I67" i="9"/>
  <c r="L50" i="8"/>
  <c r="K67" i="9"/>
  <c r="E52" i="8"/>
  <c r="D69" i="9"/>
  <c r="G54" i="8"/>
  <c r="F71" i="9"/>
  <c r="L52" i="8"/>
  <c r="K69" i="9"/>
  <c r="D52" i="8"/>
  <c r="C69" i="9"/>
  <c r="I50" i="8"/>
  <c r="H67" i="9"/>
  <c r="M52" i="8"/>
  <c r="L69" i="9"/>
  <c r="N54" i="8"/>
  <c r="M71" i="9"/>
  <c r="F54" i="8"/>
  <c r="E71" i="9"/>
  <c r="K52" i="8"/>
  <c r="J69" i="9"/>
  <c r="C50" i="8"/>
  <c r="B67" i="9"/>
  <c r="H50" i="8"/>
  <c r="G67" i="9"/>
  <c r="L54" i="8"/>
  <c r="K71" i="9"/>
  <c r="J54" i="8"/>
  <c r="I71" i="9"/>
  <c r="H54" i="8"/>
  <c r="G71" i="9"/>
  <c r="R71" i="1"/>
  <c r="S71" i="1"/>
  <c r="Q71" i="1"/>
  <c r="T71" i="1"/>
  <c r="U71" i="1"/>
  <c r="V71" i="1"/>
  <c r="M54" i="8"/>
  <c r="L71" i="9"/>
  <c r="E54" i="8"/>
  <c r="D71" i="9"/>
  <c r="J52" i="8"/>
  <c r="I69" i="9"/>
  <c r="G50" i="8"/>
  <c r="F67" i="9"/>
  <c r="P200" i="1"/>
  <c r="P201" i="1" s="1"/>
  <c r="O91" i="10" s="1"/>
  <c r="R100" i="1"/>
  <c r="R101" i="1" s="1"/>
  <c r="Q100" i="1"/>
  <c r="Q101" i="1" s="1"/>
  <c r="P101" i="1"/>
  <c r="O127" i="10" s="1"/>
  <c r="V100" i="1"/>
  <c r="V101" i="1" s="1"/>
  <c r="U100" i="1"/>
  <c r="U101" i="1" s="1"/>
  <c r="S100" i="1"/>
  <c r="S101" i="1" s="1"/>
  <c r="T100" i="1"/>
  <c r="T101" i="1" s="1"/>
  <c r="U78" i="1"/>
  <c r="U79" i="1" s="1"/>
  <c r="T78" i="1"/>
  <c r="T79" i="1" s="1"/>
  <c r="S78" i="1"/>
  <c r="S79" i="1" s="1"/>
  <c r="R78" i="1"/>
  <c r="R79" i="1" s="1"/>
  <c r="P79" i="1"/>
  <c r="V78" i="1"/>
  <c r="V79" i="1" s="1"/>
  <c r="Q78" i="1"/>
  <c r="Q79" i="1" s="1"/>
  <c r="V186" i="1"/>
  <c r="V187" i="1" s="1"/>
  <c r="T186" i="1"/>
  <c r="T187" i="1" s="1"/>
  <c r="S186" i="1"/>
  <c r="S187" i="1" s="1"/>
  <c r="R186" i="1"/>
  <c r="R187" i="1" s="1"/>
  <c r="Q186" i="1"/>
  <c r="Q187" i="1" s="1"/>
  <c r="P187" i="1"/>
  <c r="U186" i="1"/>
  <c r="U187" i="1" s="1"/>
  <c r="S214" i="1"/>
  <c r="Q214" i="1"/>
  <c r="P214" i="1"/>
  <c r="O144" i="10" s="1"/>
  <c r="V214" i="1"/>
  <c r="R214" i="1"/>
  <c r="U214" i="1"/>
  <c r="T214" i="1"/>
  <c r="Q204" i="1"/>
  <c r="V204" i="1"/>
  <c r="U204" i="1"/>
  <c r="T204" i="1"/>
  <c r="P204" i="1"/>
  <c r="O142" i="10" s="1"/>
  <c r="S204" i="1"/>
  <c r="R204" i="1"/>
  <c r="Q150" i="1"/>
  <c r="Q151" i="1" s="1"/>
  <c r="V150" i="1"/>
  <c r="V151" i="1" s="1"/>
  <c r="U150" i="1"/>
  <c r="U151" i="1" s="1"/>
  <c r="T150" i="1"/>
  <c r="T151" i="1" s="1"/>
  <c r="P151" i="1"/>
  <c r="O134" i="10" s="1"/>
  <c r="S150" i="1"/>
  <c r="S151" i="1" s="1"/>
  <c r="R150" i="1"/>
  <c r="R151" i="1" s="1"/>
  <c r="U122" i="1"/>
  <c r="S122" i="1"/>
  <c r="R122" i="1"/>
  <c r="Q122" i="1"/>
  <c r="V122" i="1"/>
  <c r="T122" i="1"/>
  <c r="U179" i="1"/>
  <c r="U180" i="1" s="1"/>
  <c r="S179" i="1"/>
  <c r="S180" i="1" s="1"/>
  <c r="R179" i="1"/>
  <c r="R180" i="1" s="1"/>
  <c r="Q179" i="1"/>
  <c r="Q180" i="1" s="1"/>
  <c r="P180" i="1"/>
  <c r="O138" i="10" s="1"/>
  <c r="V179" i="1"/>
  <c r="V180" i="1" s="1"/>
  <c r="T179" i="1"/>
  <c r="T180" i="1" s="1"/>
  <c r="P194" i="1"/>
  <c r="Q193" i="1"/>
  <c r="Q194" i="1" s="1"/>
  <c r="R193" i="1"/>
  <c r="R194" i="1" s="1"/>
  <c r="S193" i="1"/>
  <c r="S194" i="1" s="1"/>
  <c r="T193" i="1"/>
  <c r="T194" i="1" s="1"/>
  <c r="U193" i="1"/>
  <c r="U194" i="1" s="1"/>
  <c r="V193" i="1"/>
  <c r="V194" i="1" s="1"/>
  <c r="Q93" i="1"/>
  <c r="Q94" i="1" s="1"/>
  <c r="V93" i="1"/>
  <c r="V94" i="1" s="1"/>
  <c r="U93" i="1"/>
  <c r="U94" i="1" s="1"/>
  <c r="T93" i="1"/>
  <c r="T94" i="1" s="1"/>
  <c r="R93" i="1"/>
  <c r="R94" i="1" s="1"/>
  <c r="S93" i="1"/>
  <c r="S94" i="1" s="1"/>
  <c r="P94" i="1"/>
  <c r="V199" i="1"/>
  <c r="U199" i="1"/>
  <c r="T199" i="1"/>
  <c r="S199" i="1"/>
  <c r="Q199" i="1"/>
  <c r="R199" i="1"/>
  <c r="P86" i="1"/>
  <c r="V85" i="1"/>
  <c r="V86" i="1" s="1"/>
  <c r="U85" i="1"/>
  <c r="U86" i="1" s="1"/>
  <c r="T85" i="1"/>
  <c r="T86" i="1" s="1"/>
  <c r="S85" i="1"/>
  <c r="S86" i="1" s="1"/>
  <c r="R85" i="1"/>
  <c r="R86" i="1" s="1"/>
  <c r="Q85" i="1"/>
  <c r="Q86" i="1" s="1"/>
  <c r="T221" i="1"/>
  <c r="R221" i="1"/>
  <c r="Q221" i="1"/>
  <c r="P221" i="1"/>
  <c r="O145" i="10" s="1"/>
  <c r="O153" i="10" s="1"/>
  <c r="U221" i="1"/>
  <c r="V221" i="1"/>
  <c r="S221" i="1"/>
  <c r="R209" i="1"/>
  <c r="P209" i="1"/>
  <c r="O143" i="10" s="1"/>
  <c r="V209" i="1"/>
  <c r="Q209" i="1"/>
  <c r="U209" i="1"/>
  <c r="S209" i="1"/>
  <c r="T209" i="1"/>
  <c r="T115" i="1"/>
  <c r="T116" i="1" s="1"/>
  <c r="R115" i="1"/>
  <c r="R116" i="1" s="1"/>
  <c r="Q115" i="1"/>
  <c r="Q116" i="1" s="1"/>
  <c r="P116" i="1"/>
  <c r="U115" i="1"/>
  <c r="U116" i="1" s="1"/>
  <c r="S115" i="1"/>
  <c r="S116" i="1" s="1"/>
  <c r="V115" i="1"/>
  <c r="V116" i="1" s="1"/>
  <c r="V129" i="1"/>
  <c r="V130" i="1" s="1"/>
  <c r="T129" i="1"/>
  <c r="T130" i="1" s="1"/>
  <c r="S129" i="1"/>
  <c r="S130" i="1" s="1"/>
  <c r="R129" i="1"/>
  <c r="R130" i="1" s="1"/>
  <c r="U129" i="1"/>
  <c r="U130" i="1" s="1"/>
  <c r="Q129" i="1"/>
  <c r="Q130" i="1" s="1"/>
  <c r="P130" i="1"/>
  <c r="O131" i="10" s="1"/>
  <c r="O52" i="8"/>
  <c r="W52" i="8"/>
  <c r="O54" i="8"/>
  <c r="W54" i="8"/>
  <c r="O50" i="8"/>
  <c r="W50" i="8"/>
  <c r="N250" i="1"/>
  <c r="J250" i="1"/>
  <c r="X123" i="8"/>
  <c r="Z126" i="8" s="1"/>
  <c r="W123" i="8"/>
  <c r="M126" i="8"/>
  <c r="X119" i="8"/>
  <c r="W119" i="8"/>
  <c r="X109" i="8"/>
  <c r="W112" i="8"/>
  <c r="C250" i="1"/>
  <c r="I250" i="1"/>
  <c r="W250" i="1"/>
  <c r="H250" i="1"/>
  <c r="O250" i="1"/>
  <c r="G250" i="1"/>
  <c r="F250" i="1"/>
  <c r="M250" i="1"/>
  <c r="E250" i="1"/>
  <c r="L250" i="1"/>
  <c r="D250" i="1"/>
  <c r="K250" i="1"/>
  <c r="I26" i="1"/>
  <c r="K26" i="1"/>
  <c r="J26" i="1"/>
  <c r="M26" i="1"/>
  <c r="Z26" i="1" s="1"/>
  <c r="E26" i="1"/>
  <c r="L26" i="1"/>
  <c r="D26" i="1"/>
  <c r="C26" i="1"/>
  <c r="H26" i="1"/>
  <c r="O26" i="1"/>
  <c r="G26" i="1"/>
  <c r="N26" i="1"/>
  <c r="F26" i="1"/>
  <c r="AC12" i="1" l="1"/>
  <c r="AF12" i="1" s="1"/>
  <c r="O259" i="8"/>
  <c r="H259" i="8"/>
  <c r="K259" i="8"/>
  <c r="C259" i="8"/>
  <c r="I259" i="8"/>
  <c r="D259" i="8"/>
  <c r="L259" i="8"/>
  <c r="N259" i="8"/>
  <c r="M259" i="8"/>
  <c r="F259" i="8"/>
  <c r="E259" i="8"/>
  <c r="G259" i="8"/>
  <c r="J259" i="8"/>
  <c r="Z112" i="8"/>
  <c r="Y69" i="9"/>
  <c r="B65" i="9"/>
  <c r="C107" i="9" s="1"/>
  <c r="I65" i="9"/>
  <c r="J107" i="9" s="1"/>
  <c r="X69" i="9"/>
  <c r="K65" i="9"/>
  <c r="L107" i="9" s="1"/>
  <c r="J65" i="9"/>
  <c r="K107" i="9" s="1"/>
  <c r="E65" i="9"/>
  <c r="F107" i="9" s="1"/>
  <c r="D65" i="9"/>
  <c r="E107" i="9" s="1"/>
  <c r="Y67" i="9"/>
  <c r="Z71" i="9"/>
  <c r="AB71" i="9"/>
  <c r="AA71" i="9"/>
  <c r="L65" i="9"/>
  <c r="M107" i="9" s="1"/>
  <c r="G65" i="9"/>
  <c r="H107" i="9" s="1"/>
  <c r="Z69" i="9"/>
  <c r="AA69" i="9"/>
  <c r="AB69" i="9"/>
  <c r="C65" i="9"/>
  <c r="D107" i="9" s="1"/>
  <c r="Y71" i="9"/>
  <c r="X67" i="9"/>
  <c r="Z67" i="9"/>
  <c r="AA67" i="9"/>
  <c r="AB67" i="9"/>
  <c r="X71" i="9"/>
  <c r="M65" i="9"/>
  <c r="N107" i="9" s="1"/>
  <c r="F65" i="9"/>
  <c r="G107" i="9" s="1"/>
  <c r="H65" i="9"/>
  <c r="I107" i="9" s="1"/>
  <c r="N65" i="9"/>
  <c r="O107" i="9" s="1"/>
  <c r="U102" i="1"/>
  <c r="U131" i="1"/>
  <c r="V210" i="1"/>
  <c r="V211" i="1" s="1"/>
  <c r="R222" i="1"/>
  <c r="R223" i="1" s="1"/>
  <c r="S195" i="1"/>
  <c r="R181" i="1"/>
  <c r="Q152" i="1"/>
  <c r="T215" i="1"/>
  <c r="T216" i="1" s="1"/>
  <c r="V102" i="1"/>
  <c r="Q181" i="1"/>
  <c r="R131" i="1"/>
  <c r="T222" i="1"/>
  <c r="T223" i="1" s="1"/>
  <c r="R195" i="1"/>
  <c r="S181" i="1"/>
  <c r="R205" i="1"/>
  <c r="R206" i="1" s="1"/>
  <c r="U215" i="1"/>
  <c r="U216" i="1" s="1"/>
  <c r="Q188" i="1"/>
  <c r="R80" i="1"/>
  <c r="Q210" i="1"/>
  <c r="Q211" i="1" s="1"/>
  <c r="T195" i="1"/>
  <c r="V152" i="1"/>
  <c r="S131" i="1"/>
  <c r="R210" i="1"/>
  <c r="R211" i="1" s="1"/>
  <c r="Q195" i="1"/>
  <c r="U181" i="1"/>
  <c r="R152" i="1"/>
  <c r="S205" i="1"/>
  <c r="S206" i="1" s="1"/>
  <c r="R215" i="1"/>
  <c r="R216" i="1" s="1"/>
  <c r="R188" i="1"/>
  <c r="S80" i="1"/>
  <c r="Q102" i="1"/>
  <c r="Q222" i="1"/>
  <c r="Q223" i="1" s="1"/>
  <c r="Q205" i="1"/>
  <c r="Q206" i="1" s="1"/>
  <c r="T131" i="1"/>
  <c r="S222" i="1"/>
  <c r="S223" i="1" s="1"/>
  <c r="S152" i="1"/>
  <c r="V215" i="1"/>
  <c r="V216" i="1" s="1"/>
  <c r="S188" i="1"/>
  <c r="T80" i="1"/>
  <c r="R102" i="1"/>
  <c r="Q131" i="1"/>
  <c r="U188" i="1"/>
  <c r="V131" i="1"/>
  <c r="T210" i="1"/>
  <c r="T211" i="1" s="1"/>
  <c r="V222" i="1"/>
  <c r="V223" i="1" s="1"/>
  <c r="T181" i="1"/>
  <c r="T205" i="1"/>
  <c r="T206" i="1" s="1"/>
  <c r="T188" i="1"/>
  <c r="U80" i="1"/>
  <c r="V80" i="1"/>
  <c r="S210" i="1"/>
  <c r="S211" i="1" s="1"/>
  <c r="U222" i="1"/>
  <c r="U223" i="1" s="1"/>
  <c r="V195" i="1"/>
  <c r="V181" i="1"/>
  <c r="T152" i="1"/>
  <c r="U205" i="1"/>
  <c r="U206" i="1" s="1"/>
  <c r="Q215" i="1"/>
  <c r="Q216" i="1" s="1"/>
  <c r="V188" i="1"/>
  <c r="T102" i="1"/>
  <c r="U210" i="1"/>
  <c r="U211" i="1" s="1"/>
  <c r="U195" i="1"/>
  <c r="U152" i="1"/>
  <c r="V205" i="1"/>
  <c r="V206" i="1" s="1"/>
  <c r="S215" i="1"/>
  <c r="S216" i="1" s="1"/>
  <c r="Q80" i="1"/>
  <c r="S102" i="1"/>
  <c r="P131" i="1"/>
  <c r="P222" i="1"/>
  <c r="P223" i="1" s="1"/>
  <c r="O95" i="10" s="1"/>
  <c r="P181" i="1"/>
  <c r="O88" i="10" s="1"/>
  <c r="P210" i="1"/>
  <c r="P211" i="1" s="1"/>
  <c r="O93" i="10" s="1"/>
  <c r="P102" i="1"/>
  <c r="O77" i="10" s="1"/>
  <c r="P205" i="1"/>
  <c r="P206" i="1" s="1"/>
  <c r="O92" i="10" s="1"/>
  <c r="P152" i="1"/>
  <c r="P215" i="1"/>
  <c r="P216" i="1" s="1"/>
  <c r="O94" i="10" s="1"/>
  <c r="R123" i="1"/>
  <c r="R200" i="1"/>
  <c r="R251" i="1"/>
  <c r="U123" i="1"/>
  <c r="Q200" i="1"/>
  <c r="Q251" i="1"/>
  <c r="S200" i="1"/>
  <c r="S251" i="1"/>
  <c r="T123" i="1"/>
  <c r="S123" i="1"/>
  <c r="T200" i="1"/>
  <c r="T251" i="1"/>
  <c r="V123" i="1"/>
  <c r="U200" i="1"/>
  <c r="U251" i="1"/>
  <c r="P123" i="1"/>
  <c r="O130" i="10" s="1"/>
  <c r="P251" i="1"/>
  <c r="O152" i="10" s="1"/>
  <c r="V200" i="1"/>
  <c r="V251" i="1"/>
  <c r="Q123" i="1"/>
  <c r="T72" i="1"/>
  <c r="U72" i="1"/>
  <c r="V72" i="1"/>
  <c r="P72" i="1"/>
  <c r="Q72" i="1"/>
  <c r="R72" i="1"/>
  <c r="S72" i="1"/>
  <c r="V250" i="1"/>
  <c r="T250" i="1"/>
  <c r="S250" i="1"/>
  <c r="R250" i="1"/>
  <c r="Q250" i="1"/>
  <c r="U250" i="1"/>
  <c r="P250" i="1"/>
  <c r="X260" i="8"/>
  <c r="L225" i="1"/>
  <c r="L48" i="8"/>
  <c r="F225" i="1"/>
  <c r="F48" i="8"/>
  <c r="F260" i="8" s="1"/>
  <c r="F261" i="8" s="1"/>
  <c r="E225" i="1"/>
  <c r="E48" i="8"/>
  <c r="N225" i="1"/>
  <c r="N48" i="8"/>
  <c r="M225" i="1"/>
  <c r="M48" i="8"/>
  <c r="M260" i="8" s="1"/>
  <c r="M261" i="8" s="1"/>
  <c r="G225" i="1"/>
  <c r="G48" i="8"/>
  <c r="K48" i="8"/>
  <c r="J225" i="1"/>
  <c r="J48" i="8"/>
  <c r="H225" i="1"/>
  <c r="H48" i="8"/>
  <c r="H260" i="8" s="1"/>
  <c r="H261" i="8" s="1"/>
  <c r="I225" i="1"/>
  <c r="I48" i="8"/>
  <c r="C225" i="1"/>
  <c r="C48" i="8"/>
  <c r="D225" i="1"/>
  <c r="D48" i="8"/>
  <c r="D260" i="8" s="1"/>
  <c r="D261" i="8" s="1"/>
  <c r="O225" i="1"/>
  <c r="O48" i="8"/>
  <c r="X112" i="8"/>
  <c r="X126" i="8"/>
  <c r="W126" i="8"/>
  <c r="K225" i="1"/>
  <c r="J260" i="8" l="1"/>
  <c r="J261" i="8" s="1"/>
  <c r="I260" i="8"/>
  <c r="I261" i="8" s="1"/>
  <c r="L260" i="8"/>
  <c r="L261" i="8" s="1"/>
  <c r="E260" i="8"/>
  <c r="E261" i="8" s="1"/>
  <c r="K260" i="8"/>
  <c r="K261" i="8" s="1"/>
  <c r="G260" i="8"/>
  <c r="G261" i="8" s="1"/>
  <c r="N260" i="8"/>
  <c r="N261" i="8" s="1"/>
  <c r="C260" i="8"/>
  <c r="C261" i="8" s="1"/>
  <c r="Z65" i="9"/>
  <c r="O84" i="10"/>
  <c r="O81" i="10"/>
  <c r="X65" i="9"/>
  <c r="AA65" i="9"/>
  <c r="AB65" i="9"/>
  <c r="Y65" i="9"/>
  <c r="P252" i="1"/>
  <c r="P253" i="1"/>
  <c r="O101" i="10" s="1"/>
  <c r="T201" i="1"/>
  <c r="T252" i="1"/>
  <c r="Q201" i="1"/>
  <c r="Q252" i="1"/>
  <c r="S124" i="1"/>
  <c r="U124" i="1"/>
  <c r="Q124" i="1"/>
  <c r="U201" i="1"/>
  <c r="U252" i="1"/>
  <c r="T124" i="1"/>
  <c r="R201" i="1"/>
  <c r="R252" i="1"/>
  <c r="P124" i="1"/>
  <c r="O80" i="10" s="1"/>
  <c r="V201" i="1"/>
  <c r="V252" i="1"/>
  <c r="V124" i="1"/>
  <c r="S201" i="1"/>
  <c r="S252" i="1"/>
  <c r="R124" i="1"/>
  <c r="S73" i="1"/>
  <c r="V73" i="1"/>
  <c r="R73" i="1"/>
  <c r="U73" i="1"/>
  <c r="Q73" i="1"/>
  <c r="T73" i="1"/>
  <c r="W260" i="8"/>
  <c r="U226" i="1"/>
  <c r="T226" i="1"/>
  <c r="S226" i="1"/>
  <c r="R226" i="1"/>
  <c r="Q226" i="1"/>
  <c r="P226" i="1"/>
  <c r="O146" i="10" s="1"/>
  <c r="O154" i="10" s="1"/>
  <c r="V226" i="1"/>
  <c r="X261" i="8"/>
  <c r="O260" i="8"/>
  <c r="Y48" i="8"/>
  <c r="AA48" i="8"/>
  <c r="Z48" i="8"/>
  <c r="T227" i="1" l="1"/>
  <c r="T228" i="1" s="1"/>
  <c r="U227" i="1"/>
  <c r="U228" i="1" s="1"/>
  <c r="V227" i="1"/>
  <c r="V228" i="1" s="1"/>
  <c r="Q227" i="1"/>
  <c r="Q228" i="1" s="1"/>
  <c r="R227" i="1"/>
  <c r="R228" i="1" s="1"/>
  <c r="S227" i="1"/>
  <c r="S228" i="1" s="1"/>
  <c r="P227" i="1"/>
  <c r="P228" i="1" s="1"/>
  <c r="W261" i="8"/>
  <c r="O261" i="8"/>
  <c r="O96" i="10" l="1"/>
  <c r="D57" i="1"/>
  <c r="C57" i="1" l="1"/>
  <c r="D244" i="11" s="1"/>
  <c r="E244" i="11"/>
  <c r="X340" i="6"/>
  <c r="W340" i="6"/>
  <c r="V340" i="6"/>
  <c r="U340" i="6"/>
  <c r="T340" i="6"/>
  <c r="S340" i="6"/>
  <c r="R340" i="6"/>
  <c r="Q340" i="6"/>
  <c r="P340" i="6"/>
  <c r="O340" i="6"/>
  <c r="N340" i="6"/>
  <c r="M340" i="6"/>
  <c r="L340" i="6"/>
  <c r="N47" i="1"/>
  <c r="D47" i="1"/>
  <c r="E234" i="11" s="1"/>
  <c r="E452" i="6"/>
  <c r="I452" i="6" s="1"/>
  <c r="I454" i="6"/>
  <c r="I453" i="6"/>
  <c r="I451" i="6"/>
  <c r="I450" i="6"/>
  <c r="D453" i="6"/>
  <c r="D450" i="6"/>
  <c r="D451" i="6"/>
  <c r="D452" i="6"/>
  <c r="N44" i="1" l="1"/>
  <c r="N43" i="1"/>
  <c r="N42" i="1"/>
  <c r="N41" i="1"/>
  <c r="N40" i="1"/>
  <c r="N39" i="1"/>
  <c r="N38" i="1"/>
  <c r="N37" i="1"/>
  <c r="N36" i="1"/>
  <c r="N54" i="1"/>
  <c r="N53" i="1"/>
  <c r="N51" i="1"/>
  <c r="N50" i="1"/>
  <c r="O52" i="1"/>
  <c r="N52" i="1" s="1"/>
  <c r="B52" i="1"/>
  <c r="D53" i="1" l="1"/>
  <c r="E240" i="11" s="1"/>
  <c r="B53" i="1"/>
  <c r="D52" i="1"/>
  <c r="E239" i="11" s="1"/>
  <c r="D51" i="1"/>
  <c r="E238" i="11" s="1"/>
  <c r="D50" i="1"/>
  <c r="E237" i="11" s="1"/>
  <c r="L53" i="1" l="1"/>
  <c r="C53" i="1"/>
  <c r="D240" i="11" s="1"/>
  <c r="B51" i="1"/>
  <c r="B50" i="1"/>
  <c r="B460" i="6"/>
  <c r="F460" i="6" s="1"/>
  <c r="H460" i="6" s="1"/>
  <c r="E460" i="6"/>
  <c r="D460" i="6"/>
  <c r="C460" i="6"/>
  <c r="E459" i="6"/>
  <c r="B459" i="6"/>
  <c r="E458" i="6"/>
  <c r="B458" i="6"/>
  <c r="E457" i="6"/>
  <c r="I457" i="6" s="1"/>
  <c r="D457" i="6"/>
  <c r="B457" i="6"/>
  <c r="F459" i="6"/>
  <c r="H459" i="6" s="1"/>
  <c r="F456" i="6"/>
  <c r="B456" i="6"/>
  <c r="E456" i="6"/>
  <c r="D456" i="6"/>
  <c r="E455" i="6"/>
  <c r="D455" i="6"/>
  <c r="C455" i="6"/>
  <c r="B455" i="6"/>
  <c r="B454" i="6"/>
  <c r="H454" i="6" s="1"/>
  <c r="B453" i="6"/>
  <c r="H453" i="6" s="1"/>
  <c r="C452" i="6"/>
  <c r="B452" i="6"/>
  <c r="C451" i="6"/>
  <c r="B451" i="6"/>
  <c r="C450" i="6"/>
  <c r="I460" i="6"/>
  <c r="B450" i="6"/>
  <c r="I456" i="6"/>
  <c r="I458" i="6"/>
  <c r="I459" i="6"/>
  <c r="E449" i="6"/>
  <c r="I449" i="6" s="1"/>
  <c r="D449" i="6"/>
  <c r="H449" i="6" s="1"/>
  <c r="C449" i="6"/>
  <c r="M53" i="1" l="1"/>
  <c r="P53" i="1"/>
  <c r="F455" i="6"/>
  <c r="H455" i="6" s="1"/>
  <c r="H450" i="6"/>
  <c r="F458" i="6"/>
  <c r="H458" i="6" s="1"/>
  <c r="F457" i="6"/>
  <c r="H457" i="6" s="1"/>
  <c r="H456" i="6"/>
  <c r="I455" i="6"/>
  <c r="H452" i="6"/>
  <c r="H451" i="6"/>
  <c r="D448" i="6"/>
  <c r="D42" i="1" s="1"/>
  <c r="E229" i="11" s="1"/>
  <c r="C448" i="6"/>
  <c r="I448" i="6" s="1"/>
  <c r="B448" i="6"/>
  <c r="D447" i="6"/>
  <c r="D43" i="1" s="1"/>
  <c r="E230" i="11" s="1"/>
  <c r="C447" i="6"/>
  <c r="B447" i="6"/>
  <c r="I442" i="6"/>
  <c r="E446" i="6"/>
  <c r="D446" i="6"/>
  <c r="D40" i="1" s="1"/>
  <c r="E227" i="11" s="1"/>
  <c r="C446" i="6"/>
  <c r="H446" i="6" s="1"/>
  <c r="B446" i="6"/>
  <c r="E445" i="6"/>
  <c r="D445" i="6"/>
  <c r="D38" i="1" s="1"/>
  <c r="E225" i="11" s="1"/>
  <c r="C445" i="6"/>
  <c r="I445" i="6" s="1"/>
  <c r="B445" i="6"/>
  <c r="F444" i="6"/>
  <c r="E444" i="6"/>
  <c r="D444" i="6"/>
  <c r="D39" i="1" s="1"/>
  <c r="E226" i="11" s="1"/>
  <c r="C444" i="6"/>
  <c r="I444" i="6" s="1"/>
  <c r="B444" i="6"/>
  <c r="G443" i="6"/>
  <c r="E443" i="6"/>
  <c r="F443" i="6"/>
  <c r="D443" i="6"/>
  <c r="D41" i="1" s="1"/>
  <c r="E228" i="11" s="1"/>
  <c r="C443" i="6"/>
  <c r="I443" i="6" s="1"/>
  <c r="B443" i="6"/>
  <c r="G441" i="6"/>
  <c r="E442" i="6"/>
  <c r="D442" i="6"/>
  <c r="D37" i="1" s="1"/>
  <c r="E224" i="11" s="1"/>
  <c r="C442" i="6"/>
  <c r="B442" i="6"/>
  <c r="F441" i="6"/>
  <c r="E441" i="6"/>
  <c r="H441" i="6" s="1"/>
  <c r="D441" i="6"/>
  <c r="D36" i="1" s="1"/>
  <c r="C441" i="6"/>
  <c r="I441" i="6" s="1"/>
  <c r="B441" i="6"/>
  <c r="I446" i="6" l="1"/>
  <c r="H448" i="6"/>
  <c r="H447" i="6"/>
  <c r="I447" i="6"/>
  <c r="H445" i="6"/>
  <c r="H444" i="6"/>
  <c r="H443" i="6"/>
  <c r="H442" i="6"/>
  <c r="D32" i="3" l="1"/>
  <c r="N341" i="6" l="1"/>
  <c r="S341" i="6"/>
  <c r="R341" i="6"/>
  <c r="U341" i="6"/>
  <c r="X341" i="6"/>
  <c r="O8" i="1" s="1"/>
  <c r="O145" i="8" s="1"/>
  <c r="V341" i="6"/>
  <c r="T341" i="6"/>
  <c r="P341" i="6"/>
  <c r="N47" i="9" l="1"/>
  <c r="P8" i="1"/>
  <c r="P145" i="8" s="1"/>
  <c r="L8" i="1"/>
  <c r="L145" i="8" s="1"/>
  <c r="G8" i="1"/>
  <c r="G145" i="8" s="1"/>
  <c r="K8" i="1"/>
  <c r="K145" i="8" s="1"/>
  <c r="M8" i="1"/>
  <c r="I8" i="1"/>
  <c r="I145" i="8" s="1"/>
  <c r="J8" i="1"/>
  <c r="J145" i="8" s="1"/>
  <c r="O107" i="1"/>
  <c r="O236" i="1" s="1"/>
  <c r="O30" i="8"/>
  <c r="E8" i="1"/>
  <c r="E145" i="8" s="1"/>
  <c r="L341" i="6"/>
  <c r="M341" i="6"/>
  <c r="O341" i="6"/>
  <c r="W341" i="6"/>
  <c r="Q341" i="6"/>
  <c r="O83" i="9" l="1"/>
  <c r="N73" i="9"/>
  <c r="M145" i="8"/>
  <c r="Z8" i="1"/>
  <c r="AC4" i="1"/>
  <c r="AF4" i="1" s="1"/>
  <c r="P146" i="8"/>
  <c r="P266" i="8"/>
  <c r="H47" i="9"/>
  <c r="J47" i="9"/>
  <c r="O47" i="9"/>
  <c r="P107" i="1"/>
  <c r="P236" i="1" s="1"/>
  <c r="F47" i="9"/>
  <c r="L47" i="9"/>
  <c r="D47" i="9"/>
  <c r="K47" i="9"/>
  <c r="I47" i="9"/>
  <c r="O146" i="8"/>
  <c r="O266" i="8"/>
  <c r="K107" i="1"/>
  <c r="K236" i="1" s="1"/>
  <c r="K30" i="8"/>
  <c r="H8" i="1"/>
  <c r="H145" i="8" s="1"/>
  <c r="J107" i="1"/>
  <c r="J236" i="1" s="1"/>
  <c r="J30" i="8"/>
  <c r="G107" i="1"/>
  <c r="G236" i="1" s="1"/>
  <c r="G30" i="8"/>
  <c r="D8" i="1"/>
  <c r="D145" i="8" s="1"/>
  <c r="I107" i="1"/>
  <c r="I236" i="1" s="1"/>
  <c r="I30" i="8"/>
  <c r="L107" i="1"/>
  <c r="L236" i="1" s="1"/>
  <c r="L30" i="8"/>
  <c r="E107" i="1"/>
  <c r="E236" i="1" s="1"/>
  <c r="E30" i="8"/>
  <c r="M107" i="1"/>
  <c r="M236" i="1" s="1"/>
  <c r="M30" i="8"/>
  <c r="O108" i="1"/>
  <c r="O237" i="1" s="1"/>
  <c r="N8" i="1"/>
  <c r="N145" i="8" s="1"/>
  <c r="F8" i="1"/>
  <c r="F145" i="8" s="1"/>
  <c r="C8" i="1"/>
  <c r="C145" i="8" s="1"/>
  <c r="N46" i="1"/>
  <c r="N45" i="1"/>
  <c r="I83" i="9" l="1"/>
  <c r="H73" i="9"/>
  <c r="E83" i="9"/>
  <c r="D73" i="9"/>
  <c r="M83" i="9"/>
  <c r="L73" i="9"/>
  <c r="G83" i="9"/>
  <c r="F73" i="9"/>
  <c r="P83" i="9"/>
  <c r="O73" i="9"/>
  <c r="J83" i="9"/>
  <c r="I73" i="9"/>
  <c r="L83" i="9"/>
  <c r="K73" i="9"/>
  <c r="K83" i="9"/>
  <c r="J73" i="9"/>
  <c r="P85" i="9"/>
  <c r="P84" i="9"/>
  <c r="P267" i="8"/>
  <c r="P147" i="8"/>
  <c r="E47" i="9"/>
  <c r="G47" i="9"/>
  <c r="G73" i="9" s="1"/>
  <c r="M47" i="9"/>
  <c r="M73" i="9" s="1"/>
  <c r="C47" i="9"/>
  <c r="B47" i="9"/>
  <c r="T107" i="1"/>
  <c r="T236" i="1" s="1"/>
  <c r="U107" i="1"/>
  <c r="U236" i="1" s="1"/>
  <c r="V107" i="1"/>
  <c r="V236" i="1" s="1"/>
  <c r="R107" i="1"/>
  <c r="R236" i="1" s="1"/>
  <c r="Q107" i="1"/>
  <c r="Q236" i="1" s="1"/>
  <c r="S107" i="1"/>
  <c r="S236" i="1" s="1"/>
  <c r="I146" i="8"/>
  <c r="I266" i="8"/>
  <c r="H107" i="1"/>
  <c r="H236" i="1" s="1"/>
  <c r="H30" i="8"/>
  <c r="M146" i="8"/>
  <c r="M266" i="8"/>
  <c r="M108" i="1"/>
  <c r="M237" i="1" s="1"/>
  <c r="D107" i="1"/>
  <c r="D236" i="1" s="1"/>
  <c r="D30" i="8"/>
  <c r="E108" i="1"/>
  <c r="E237" i="1" s="1"/>
  <c r="G108" i="1"/>
  <c r="G237" i="1" s="1"/>
  <c r="L108" i="1"/>
  <c r="L237" i="1" s="1"/>
  <c r="J108" i="1"/>
  <c r="J237" i="1" s="1"/>
  <c r="O147" i="8"/>
  <c r="O267" i="8"/>
  <c r="I108" i="1"/>
  <c r="I237" i="1" s="1"/>
  <c r="F107" i="1"/>
  <c r="F236" i="1" s="1"/>
  <c r="F30" i="8"/>
  <c r="E146" i="8"/>
  <c r="E266" i="8"/>
  <c r="G146" i="8"/>
  <c r="G266" i="8"/>
  <c r="N107" i="1"/>
  <c r="N236" i="1" s="1"/>
  <c r="N30" i="8"/>
  <c r="L146" i="8"/>
  <c r="L266" i="8"/>
  <c r="J146" i="8"/>
  <c r="J266" i="8"/>
  <c r="K108" i="1"/>
  <c r="K237" i="1" s="1"/>
  <c r="C107" i="1"/>
  <c r="C236" i="1" s="1"/>
  <c r="C30" i="8"/>
  <c r="U327" i="6"/>
  <c r="T327" i="6"/>
  <c r="T330" i="6" s="1"/>
  <c r="S327" i="6"/>
  <c r="S332" i="6" s="1"/>
  <c r="R327" i="6"/>
  <c r="R330" i="6" s="1"/>
  <c r="Q327" i="6"/>
  <c r="Q330" i="6" s="1"/>
  <c r="U326" i="6"/>
  <c r="T326" i="6"/>
  <c r="S326" i="6"/>
  <c r="R326" i="6"/>
  <c r="Q326" i="6"/>
  <c r="S303" i="6"/>
  <c r="T303" i="6" s="1"/>
  <c r="T302" i="6"/>
  <c r="T301" i="6"/>
  <c r="T300" i="6"/>
  <c r="V329" i="6"/>
  <c r="V328" i="6"/>
  <c r="D46" i="1"/>
  <c r="E233" i="11" s="1"/>
  <c r="V291" i="6"/>
  <c r="D83" i="9" l="1"/>
  <c r="C73" i="9"/>
  <c r="F83" i="9"/>
  <c r="E73" i="9"/>
  <c r="AA73" i="9"/>
  <c r="AB73" i="9"/>
  <c r="C83" i="9"/>
  <c r="B73" i="9"/>
  <c r="V84" i="9"/>
  <c r="U84" i="9"/>
  <c r="T84" i="9"/>
  <c r="S84" i="9"/>
  <c r="Q84" i="9"/>
  <c r="R84" i="9"/>
  <c r="Q85" i="9"/>
  <c r="V85" i="9"/>
  <c r="R85" i="9"/>
  <c r="U85" i="9"/>
  <c r="T85" i="9"/>
  <c r="S85" i="9"/>
  <c r="Z47" i="9"/>
  <c r="Z73" i="9" s="1"/>
  <c r="N83" i="9"/>
  <c r="Y47" i="9"/>
  <c r="Y73" i="9" s="1"/>
  <c r="H83" i="9"/>
  <c r="AB47" i="9"/>
  <c r="AA47" i="9"/>
  <c r="X47" i="9"/>
  <c r="X73" i="9" s="1"/>
  <c r="S108" i="1"/>
  <c r="S237" i="1" s="1"/>
  <c r="Q108" i="1"/>
  <c r="Q237" i="1" s="1"/>
  <c r="P108" i="1"/>
  <c r="P237" i="1" s="1"/>
  <c r="R108" i="1"/>
  <c r="R237" i="1" s="1"/>
  <c r="V108" i="1"/>
  <c r="V237" i="1" s="1"/>
  <c r="U108" i="1"/>
  <c r="U237" i="1" s="1"/>
  <c r="T108" i="1"/>
  <c r="T237" i="1" s="1"/>
  <c r="Z30" i="8"/>
  <c r="M267" i="8"/>
  <c r="M147" i="8"/>
  <c r="D146" i="8"/>
  <c r="D266" i="8"/>
  <c r="N108" i="1"/>
  <c r="N237" i="1" s="1"/>
  <c r="D108" i="1"/>
  <c r="D237" i="1" s="1"/>
  <c r="I267" i="8"/>
  <c r="I147" i="8"/>
  <c r="AA30" i="8"/>
  <c r="G267" i="8"/>
  <c r="G147" i="8"/>
  <c r="K146" i="8"/>
  <c r="K266" i="8"/>
  <c r="E267" i="8"/>
  <c r="E147" i="8"/>
  <c r="F146" i="8"/>
  <c r="F266" i="8"/>
  <c r="H146" i="8"/>
  <c r="H266" i="8"/>
  <c r="N146" i="8"/>
  <c r="N266" i="8"/>
  <c r="Y30" i="8"/>
  <c r="J267" i="8"/>
  <c r="J147" i="8"/>
  <c r="L267" i="8"/>
  <c r="L147" i="8"/>
  <c r="F108" i="1"/>
  <c r="F237" i="1" s="1"/>
  <c r="H108" i="1"/>
  <c r="H237" i="1" s="1"/>
  <c r="C146" i="8"/>
  <c r="C266" i="8"/>
  <c r="C108" i="1"/>
  <c r="C237" i="1" s="1"/>
  <c r="S330" i="6"/>
  <c r="U332" i="6"/>
  <c r="T332" i="6"/>
  <c r="T331" i="6"/>
  <c r="S331" i="6"/>
  <c r="U331" i="6"/>
  <c r="V326" i="6"/>
  <c r="V330" i="6"/>
  <c r="U330" i="6"/>
  <c r="Q332" i="6"/>
  <c r="R332" i="6"/>
  <c r="Q331" i="6"/>
  <c r="R331" i="6"/>
  <c r="V327" i="6"/>
  <c r="R109" i="1" l="1"/>
  <c r="T109" i="1"/>
  <c r="U109" i="1"/>
  <c r="Q109" i="1"/>
  <c r="V109" i="1"/>
  <c r="S109" i="1"/>
  <c r="N267" i="8"/>
  <c r="N147" i="8"/>
  <c r="F267" i="8"/>
  <c r="F147" i="8"/>
  <c r="H267" i="8"/>
  <c r="H147" i="8"/>
  <c r="K267" i="8"/>
  <c r="K147" i="8"/>
  <c r="D267" i="8"/>
  <c r="D147" i="8"/>
  <c r="C267" i="8"/>
  <c r="C147" i="8"/>
  <c r="V331" i="6"/>
  <c r="V332" i="6"/>
  <c r="R296" i="6" l="1"/>
  <c r="Q296" i="6"/>
  <c r="P296" i="6"/>
  <c r="O296" i="6"/>
  <c r="N296" i="6"/>
  <c r="S296" i="6" l="1"/>
  <c r="D45" i="1"/>
  <c r="E232" i="11" s="1"/>
  <c r="E282" i="6"/>
  <c r="F282" i="6"/>
  <c r="G282" i="6"/>
  <c r="H282" i="6"/>
  <c r="D282" i="6"/>
  <c r="I282" i="6" s="1"/>
  <c r="T213" i="6" l="1"/>
  <c r="T218" i="6" s="1"/>
  <c r="U212" i="6"/>
  <c r="U213" i="6" s="1"/>
  <c r="T212" i="6"/>
  <c r="S212" i="6"/>
  <c r="S213" i="6" s="1"/>
  <c r="R212" i="6"/>
  <c r="R213" i="6" s="1"/>
  <c r="Q212" i="6"/>
  <c r="Q213" i="6" s="1"/>
  <c r="U219" i="6"/>
  <c r="T219" i="6"/>
  <c r="S219" i="6"/>
  <c r="R219" i="6"/>
  <c r="Q219" i="6"/>
  <c r="V216" i="6"/>
  <c r="V215" i="6"/>
  <c r="V214" i="6"/>
  <c r="U188" i="6"/>
  <c r="U189" i="6" s="1"/>
  <c r="U194" i="6" s="1"/>
  <c r="T188" i="6"/>
  <c r="T189" i="6" s="1"/>
  <c r="T194" i="6" s="1"/>
  <c r="S188" i="6"/>
  <c r="S189" i="6" s="1"/>
  <c r="S194" i="6" s="1"/>
  <c r="R188" i="6"/>
  <c r="Q188" i="6"/>
  <c r="Q189" i="6" s="1"/>
  <c r="U195" i="6"/>
  <c r="T195" i="6"/>
  <c r="S195" i="6"/>
  <c r="R195" i="6"/>
  <c r="Q195" i="6"/>
  <c r="V192" i="6"/>
  <c r="V191" i="6"/>
  <c r="V190" i="6"/>
  <c r="F180" i="6"/>
  <c r="F183" i="6" s="1"/>
  <c r="E180" i="6"/>
  <c r="E183" i="6" s="1"/>
  <c r="D180" i="6"/>
  <c r="D184" i="6" s="1"/>
  <c r="C180" i="6"/>
  <c r="C184" i="6" s="1"/>
  <c r="B180" i="6"/>
  <c r="B184" i="6" s="1"/>
  <c r="G182" i="6"/>
  <c r="G181" i="6"/>
  <c r="G179" i="6"/>
  <c r="U126" i="6"/>
  <c r="U131" i="6" s="1"/>
  <c r="T126" i="6"/>
  <c r="T131" i="6" s="1"/>
  <c r="S126" i="6"/>
  <c r="S131" i="6" s="1"/>
  <c r="R126" i="6"/>
  <c r="R130" i="6" s="1"/>
  <c r="Q126" i="6"/>
  <c r="Q129" i="6" s="1"/>
  <c r="V128" i="6"/>
  <c r="V127" i="6"/>
  <c r="V125" i="6"/>
  <c r="U98" i="6"/>
  <c r="U103" i="6" s="1"/>
  <c r="R98" i="6"/>
  <c r="Q98" i="6"/>
  <c r="Q101" i="6" s="1"/>
  <c r="T103" i="6"/>
  <c r="S103" i="6"/>
  <c r="T102" i="6"/>
  <c r="S102" i="6"/>
  <c r="T101" i="6"/>
  <c r="S101" i="6"/>
  <c r="V100" i="6"/>
  <c r="V99" i="6"/>
  <c r="V97" i="6"/>
  <c r="U61" i="6"/>
  <c r="U64" i="6" s="1"/>
  <c r="T61" i="6"/>
  <c r="T66" i="6" s="1"/>
  <c r="S61" i="6"/>
  <c r="S65" i="6" s="1"/>
  <c r="R61" i="6"/>
  <c r="R65" i="6" s="1"/>
  <c r="Q61" i="6"/>
  <c r="Q64" i="6" s="1"/>
  <c r="V63" i="6"/>
  <c r="V62" i="6"/>
  <c r="V60" i="6"/>
  <c r="U38" i="6"/>
  <c r="S37" i="6"/>
  <c r="V35" i="6"/>
  <c r="V34" i="6"/>
  <c r="S38" i="6"/>
  <c r="R37" i="6"/>
  <c r="Q37" i="6"/>
  <c r="U36" i="6"/>
  <c r="T38" i="6"/>
  <c r="V32" i="6"/>
  <c r="C36" i="1" l="1"/>
  <c r="D223" i="11" s="1"/>
  <c r="V195" i="6"/>
  <c r="V212" i="6"/>
  <c r="D183" i="6"/>
  <c r="Q218" i="6"/>
  <c r="T217" i="6"/>
  <c r="Q217" i="6"/>
  <c r="V219" i="6"/>
  <c r="S218" i="6"/>
  <c r="S217" i="6"/>
  <c r="U217" i="6"/>
  <c r="U218" i="6"/>
  <c r="R217" i="6"/>
  <c r="R189" i="6"/>
  <c r="R193" i="6" s="1"/>
  <c r="Q193" i="6"/>
  <c r="Q194" i="6"/>
  <c r="V188" i="6"/>
  <c r="U193" i="6"/>
  <c r="T193" i="6"/>
  <c r="S193" i="6"/>
  <c r="B185" i="6"/>
  <c r="C185" i="6"/>
  <c r="U101" i="6"/>
  <c r="B183" i="6"/>
  <c r="C183" i="6"/>
  <c r="F185" i="6"/>
  <c r="E184" i="6"/>
  <c r="E185" i="6"/>
  <c r="D185" i="6"/>
  <c r="G180" i="6"/>
  <c r="F184" i="6"/>
  <c r="V98" i="6"/>
  <c r="Q102" i="6"/>
  <c r="Q103" i="6"/>
  <c r="R129" i="6"/>
  <c r="T129" i="6"/>
  <c r="T130" i="6"/>
  <c r="S130" i="6"/>
  <c r="S129" i="6"/>
  <c r="U130" i="6"/>
  <c r="U129" i="6"/>
  <c r="V126" i="6"/>
  <c r="R131" i="6"/>
  <c r="Q131" i="6"/>
  <c r="Q130" i="6"/>
  <c r="U102" i="6"/>
  <c r="R103" i="6"/>
  <c r="R102" i="6"/>
  <c r="R101" i="6"/>
  <c r="R64" i="6"/>
  <c r="U65" i="6"/>
  <c r="T64" i="6"/>
  <c r="T65" i="6"/>
  <c r="Q65" i="6"/>
  <c r="Q66" i="6"/>
  <c r="R66" i="6"/>
  <c r="U66" i="6"/>
  <c r="S64" i="6"/>
  <c r="S66" i="6"/>
  <c r="V61" i="6"/>
  <c r="R36" i="6"/>
  <c r="T37" i="6"/>
  <c r="U37" i="6"/>
  <c r="T36" i="6"/>
  <c r="S36" i="6"/>
  <c r="Q38" i="6"/>
  <c r="Q36" i="6"/>
  <c r="V33" i="6"/>
  <c r="R38" i="6"/>
  <c r="O86" i="1"/>
  <c r="N86" i="1"/>
  <c r="M86" i="1"/>
  <c r="L86" i="1"/>
  <c r="K86" i="1"/>
  <c r="J86" i="1"/>
  <c r="I86" i="1"/>
  <c r="H86" i="1"/>
  <c r="G86" i="1"/>
  <c r="F86" i="1"/>
  <c r="E86" i="1"/>
  <c r="D86" i="1"/>
  <c r="C86" i="1"/>
  <c r="G183" i="6" l="1"/>
  <c r="V189" i="6"/>
  <c r="V101" i="6"/>
  <c r="V103" i="6"/>
  <c r="V217" i="6"/>
  <c r="R218" i="6"/>
  <c r="V218" i="6" s="1"/>
  <c r="V213" i="6"/>
  <c r="R194" i="6"/>
  <c r="V194" i="6" s="1"/>
  <c r="V193" i="6"/>
  <c r="G185" i="6"/>
  <c r="V102" i="6"/>
  <c r="G184" i="6"/>
  <c r="V131" i="6"/>
  <c r="V130" i="6"/>
  <c r="V129" i="6"/>
  <c r="V64" i="6"/>
  <c r="V65" i="6"/>
  <c r="V66" i="6"/>
  <c r="V37" i="6"/>
  <c r="V36" i="6"/>
  <c r="V38" i="6"/>
  <c r="L42" i="1" l="1"/>
  <c r="R407" i="6"/>
  <c r="Q407" i="6"/>
  <c r="P407" i="6"/>
  <c r="O407" i="6"/>
  <c r="N407" i="6"/>
  <c r="R406" i="6"/>
  <c r="Q406" i="6"/>
  <c r="P406" i="6"/>
  <c r="O406" i="6"/>
  <c r="N406" i="6"/>
  <c r="S405" i="6"/>
  <c r="S404" i="6"/>
  <c r="S403" i="6"/>
  <c r="S402" i="6"/>
  <c r="R371" i="6"/>
  <c r="Q371" i="6"/>
  <c r="P371" i="6"/>
  <c r="O371" i="6"/>
  <c r="N371" i="6"/>
  <c r="R370" i="6"/>
  <c r="Q370" i="6"/>
  <c r="P370" i="6"/>
  <c r="O370" i="6"/>
  <c r="N370" i="6"/>
  <c r="S369" i="6"/>
  <c r="S368" i="6"/>
  <c r="S367" i="6"/>
  <c r="S366" i="6"/>
  <c r="P42" i="1" l="1"/>
  <c r="M42" i="1"/>
  <c r="L50" i="1"/>
  <c r="C42" i="1"/>
  <c r="D229" i="11" s="1"/>
  <c r="S406" i="6"/>
  <c r="S407" i="6"/>
  <c r="C50" i="1"/>
  <c r="D237" i="11" s="1"/>
  <c r="S371" i="6"/>
  <c r="S370" i="6"/>
  <c r="P50" i="1" l="1"/>
  <c r="M50" i="1"/>
  <c r="L46" i="1"/>
  <c r="P46" i="1" l="1"/>
  <c r="M46" i="1"/>
  <c r="C46" i="1"/>
  <c r="D233" i="11" s="1"/>
  <c r="U3" i="6"/>
  <c r="T3" i="6"/>
  <c r="U2" i="6"/>
  <c r="T2" i="6"/>
  <c r="S2" i="6"/>
  <c r="S3" i="6"/>
  <c r="V4" i="6"/>
  <c r="V5" i="6"/>
  <c r="R3" i="6"/>
  <c r="R2" i="6"/>
  <c r="Q3" i="6"/>
  <c r="Q2" i="6"/>
  <c r="T7" i="6" l="1"/>
  <c r="S7" i="6"/>
  <c r="Q8" i="6"/>
  <c r="Q6" i="6"/>
  <c r="T6" i="6"/>
  <c r="T8" i="6"/>
  <c r="V3" i="6"/>
  <c r="Q7" i="6"/>
  <c r="U8" i="6"/>
  <c r="U6" i="6"/>
  <c r="S6" i="6"/>
  <c r="S8" i="6"/>
  <c r="R8" i="6"/>
  <c r="R6" i="6"/>
  <c r="R7" i="6"/>
  <c r="U7" i="6"/>
  <c r="V2" i="6"/>
  <c r="O99" i="1"/>
  <c r="N99" i="1"/>
  <c r="M99" i="1"/>
  <c r="L99" i="1"/>
  <c r="K99" i="1"/>
  <c r="J99" i="1"/>
  <c r="I99" i="1"/>
  <c r="H99" i="1"/>
  <c r="G99" i="1"/>
  <c r="F99" i="1"/>
  <c r="E99" i="1"/>
  <c r="D99" i="1"/>
  <c r="C99" i="1"/>
  <c r="X99" i="1" l="1"/>
  <c r="V8" i="6"/>
  <c r="V6" i="6"/>
  <c r="V7" i="6"/>
  <c r="F4" i="5"/>
  <c r="F2" i="5"/>
  <c r="C33" i="3" l="1"/>
  <c r="B33" i="3"/>
  <c r="D31" i="3"/>
  <c r="D33" i="3" s="1"/>
  <c r="D38" i="3" s="1"/>
  <c r="D37" i="3" s="1"/>
  <c r="B28" i="3"/>
  <c r="C38" i="3" s="1"/>
  <c r="C37" i="3" s="1"/>
  <c r="J236" i="8" l="1"/>
  <c r="F236" i="8"/>
  <c r="M236" i="8"/>
  <c r="X236" i="8"/>
  <c r="I236" i="8"/>
  <c r="O236" i="8"/>
  <c r="D236" i="8"/>
  <c r="N236" i="8"/>
  <c r="L236" i="8"/>
  <c r="E236" i="8"/>
  <c r="W236" i="8"/>
  <c r="H236" i="8"/>
  <c r="K236" i="8"/>
  <c r="G236" i="8"/>
  <c r="C236" i="8"/>
  <c r="M251" i="8"/>
  <c r="G251" i="8"/>
  <c r="C251" i="8"/>
  <c r="O251" i="8"/>
  <c r="D251" i="8"/>
  <c r="L251" i="8"/>
  <c r="I251" i="8"/>
  <c r="F251" i="8"/>
  <c r="H251" i="8"/>
  <c r="N251" i="8"/>
  <c r="E251" i="8"/>
  <c r="J251" i="8"/>
  <c r="K251" i="8"/>
  <c r="W251" i="8"/>
  <c r="X251" i="8"/>
  <c r="D22" i="3" l="1"/>
  <c r="B38" i="3" s="1"/>
  <c r="D21" i="3"/>
  <c r="F262" i="8" l="1"/>
  <c r="N262" i="8"/>
  <c r="O262" i="8"/>
  <c r="E262" i="8"/>
  <c r="M262" i="8"/>
  <c r="G262" i="8"/>
  <c r="L262" i="8"/>
  <c r="J262" i="8"/>
  <c r="D262" i="8"/>
  <c r="H262" i="8"/>
  <c r="I262" i="8"/>
  <c r="C262" i="8"/>
  <c r="W262" i="8"/>
  <c r="K262" i="8"/>
  <c r="X262" i="8"/>
  <c r="X178" i="1" l="1"/>
  <c r="X171" i="1" l="1"/>
  <c r="O123" i="1"/>
  <c r="N130" i="10" s="1"/>
  <c r="N123" i="1"/>
  <c r="M130" i="10" s="1"/>
  <c r="M123" i="1"/>
  <c r="L130" i="10" s="1"/>
  <c r="L123" i="1"/>
  <c r="K130" i="10" s="1"/>
  <c r="K123" i="1"/>
  <c r="J130" i="10" s="1"/>
  <c r="J123" i="1"/>
  <c r="I130" i="10" s="1"/>
  <c r="I123" i="1"/>
  <c r="H130" i="10" s="1"/>
  <c r="H123" i="1"/>
  <c r="G130" i="10" s="1"/>
  <c r="G123" i="1"/>
  <c r="F130" i="10" s="1"/>
  <c r="F123" i="1"/>
  <c r="E130" i="10" s="1"/>
  <c r="E123" i="1"/>
  <c r="D130" i="10" s="1"/>
  <c r="D123" i="1"/>
  <c r="C130" i="10" s="1"/>
  <c r="C123" i="1"/>
  <c r="B130" i="10" s="1"/>
  <c r="D116" i="1" l="1"/>
  <c r="E116" i="1"/>
  <c r="F116" i="1"/>
  <c r="G116" i="1"/>
  <c r="H116" i="1"/>
  <c r="I116" i="1"/>
  <c r="J116" i="1"/>
  <c r="K116" i="1"/>
  <c r="L116" i="1"/>
  <c r="M116" i="1"/>
  <c r="N116" i="1"/>
  <c r="O116" i="1"/>
  <c r="C116" i="1"/>
  <c r="V243" i="6" l="1"/>
  <c r="V244" i="6" l="1"/>
  <c r="F45" i="1"/>
  <c r="C232" i="11" l="1"/>
  <c r="F68" i="8"/>
  <c r="S90" i="1"/>
  <c r="S234" i="1" s="1"/>
  <c r="K90" i="1"/>
  <c r="K234" i="1" s="1"/>
  <c r="C90" i="1"/>
  <c r="C234" i="1" s="1"/>
  <c r="J90" i="1"/>
  <c r="J234" i="1" s="1"/>
  <c r="Q90" i="1"/>
  <c r="Q234" i="1" s="1"/>
  <c r="I90" i="1"/>
  <c r="I234" i="1" s="1"/>
  <c r="V90" i="1"/>
  <c r="V234" i="1" s="1"/>
  <c r="F90" i="1"/>
  <c r="F234" i="1" s="1"/>
  <c r="L90" i="1"/>
  <c r="L234" i="1" s="1"/>
  <c r="R90" i="1"/>
  <c r="R234" i="1" s="1"/>
  <c r="P90" i="1"/>
  <c r="P234" i="1" s="1"/>
  <c r="H90" i="1"/>
  <c r="H234" i="1" s="1"/>
  <c r="N90" i="1"/>
  <c r="N234" i="1" s="1"/>
  <c r="O90" i="1"/>
  <c r="O234" i="1" s="1"/>
  <c r="G90" i="1"/>
  <c r="G234" i="1" s="1"/>
  <c r="D90" i="1"/>
  <c r="D234" i="1" s="1"/>
  <c r="U90" i="1"/>
  <c r="U234" i="1" s="1"/>
  <c r="M90" i="1"/>
  <c r="M234" i="1" s="1"/>
  <c r="E90" i="1"/>
  <c r="E234" i="1" s="1"/>
  <c r="T90" i="1"/>
  <c r="T234" i="1" s="1"/>
  <c r="J124" i="1"/>
  <c r="I80" i="10" s="1"/>
  <c r="G124" i="1"/>
  <c r="F80" i="10" s="1"/>
  <c r="D124" i="1"/>
  <c r="C80" i="10" s="1"/>
  <c r="N124" i="1"/>
  <c r="M80" i="10" s="1"/>
  <c r="E124" i="1"/>
  <c r="D80" i="10" s="1"/>
  <c r="O124" i="1"/>
  <c r="N80" i="10" s="1"/>
  <c r="C124" i="1"/>
  <c r="B80" i="10" s="1"/>
  <c r="I124" i="1"/>
  <c r="H80" i="10" s="1"/>
  <c r="F124" i="1"/>
  <c r="E80" i="10" s="1"/>
  <c r="M124" i="1"/>
  <c r="L80" i="10" s="1"/>
  <c r="H124" i="1"/>
  <c r="G80" i="10" s="1"/>
  <c r="L124" i="1"/>
  <c r="K80" i="10" s="1"/>
  <c r="K124" i="1"/>
  <c r="J80" i="10" s="1"/>
  <c r="B45" i="1"/>
  <c r="W163" i="1"/>
  <c r="Q92" i="1" l="1"/>
  <c r="Q235" i="1" s="1"/>
  <c r="T92" i="1"/>
  <c r="T235" i="1" s="1"/>
  <c r="R92" i="1"/>
  <c r="R235" i="1" s="1"/>
  <c r="S92" i="1"/>
  <c r="S235" i="1" s="1"/>
  <c r="P92" i="1"/>
  <c r="U92" i="1"/>
  <c r="U235" i="1" s="1"/>
  <c r="V92" i="1"/>
  <c r="V235" i="1" s="1"/>
  <c r="B68" i="8"/>
  <c r="C68" i="8" s="1"/>
  <c r="R128" i="8"/>
  <c r="D128" i="8"/>
  <c r="T128" i="8"/>
  <c r="O128" i="8"/>
  <c r="U128" i="8"/>
  <c r="K128" i="8"/>
  <c r="G128" i="8"/>
  <c r="M128" i="8"/>
  <c r="P128" i="8"/>
  <c r="L128" i="8"/>
  <c r="C128" i="8"/>
  <c r="E128" i="8"/>
  <c r="H128" i="8"/>
  <c r="N128" i="8"/>
  <c r="F128" i="8"/>
  <c r="I128" i="8"/>
  <c r="S128" i="8"/>
  <c r="Q128" i="8"/>
  <c r="V128" i="8"/>
  <c r="J128" i="8"/>
  <c r="L68" i="8"/>
  <c r="W90" i="1"/>
  <c r="W234" i="1" s="1"/>
  <c r="X163" i="1"/>
  <c r="W99" i="1"/>
  <c r="S238" i="1" l="1"/>
  <c r="Q238" i="1"/>
  <c r="S95" i="1"/>
  <c r="S110" i="1"/>
  <c r="O126" i="10"/>
  <c r="R95" i="1"/>
  <c r="R110" i="1"/>
  <c r="R238" i="1" s="1"/>
  <c r="Q95" i="1"/>
  <c r="Q110" i="1"/>
  <c r="U95" i="1"/>
  <c r="U110" i="1"/>
  <c r="U238" i="1" s="1"/>
  <c r="P95" i="1"/>
  <c r="O76" i="10" s="1"/>
  <c r="X90" i="1"/>
  <c r="X234" i="1" s="1"/>
  <c r="V95" i="1"/>
  <c r="V110" i="1"/>
  <c r="V238" i="1" s="1"/>
  <c r="T95" i="1"/>
  <c r="T110" i="1"/>
  <c r="T238" i="1" s="1"/>
  <c r="F130" i="8"/>
  <c r="F263" i="8"/>
  <c r="E130" i="8"/>
  <c r="E263" i="8"/>
  <c r="K130" i="8"/>
  <c r="K263" i="8"/>
  <c r="J130" i="8"/>
  <c r="J263" i="8"/>
  <c r="G130" i="8"/>
  <c r="G263" i="8"/>
  <c r="P68" i="8"/>
  <c r="M68" i="8"/>
  <c r="O130" i="8"/>
  <c r="O263" i="8"/>
  <c r="L130" i="8"/>
  <c r="L263" i="8"/>
  <c r="D130" i="8"/>
  <c r="D263" i="8"/>
  <c r="W128" i="8"/>
  <c r="N130" i="8"/>
  <c r="N263" i="8"/>
  <c r="H130" i="8"/>
  <c r="H263" i="8"/>
  <c r="C130" i="8"/>
  <c r="C263" i="8"/>
  <c r="P130" i="8"/>
  <c r="P263" i="8"/>
  <c r="I130" i="8"/>
  <c r="I263" i="8"/>
  <c r="M130" i="8"/>
  <c r="M263" i="8"/>
  <c r="X121" i="1"/>
  <c r="X167" i="1" s="1"/>
  <c r="W239" i="1"/>
  <c r="W244" i="1"/>
  <c r="X66" i="1"/>
  <c r="K133" i="8" l="1"/>
  <c r="K268" i="8" s="1"/>
  <c r="K265" i="8"/>
  <c r="J133" i="8"/>
  <c r="J268" i="8" s="1"/>
  <c r="J265" i="8"/>
  <c r="C133" i="8"/>
  <c r="C268" i="8" s="1"/>
  <c r="C265" i="8"/>
  <c r="X128" i="8"/>
  <c r="W130" i="8"/>
  <c r="W263" i="8"/>
  <c r="E133" i="8"/>
  <c r="E268" i="8" s="1"/>
  <c r="E265" i="8"/>
  <c r="H133" i="8"/>
  <c r="H268" i="8" s="1"/>
  <c r="H265" i="8"/>
  <c r="L133" i="8"/>
  <c r="L268" i="8" s="1"/>
  <c r="L265" i="8"/>
  <c r="M133" i="8"/>
  <c r="M268" i="8" s="1"/>
  <c r="M265" i="8"/>
  <c r="O133" i="8"/>
  <c r="O268" i="8" s="1"/>
  <c r="O265" i="8"/>
  <c r="I133" i="8"/>
  <c r="I268" i="8" s="1"/>
  <c r="I265" i="8"/>
  <c r="N133" i="8"/>
  <c r="N268" i="8" s="1"/>
  <c r="N265" i="8"/>
  <c r="P133" i="8"/>
  <c r="P268" i="8" s="1"/>
  <c r="P265" i="8"/>
  <c r="D133" i="8"/>
  <c r="D268" i="8" s="1"/>
  <c r="D265" i="8"/>
  <c r="G133" i="8"/>
  <c r="G268" i="8" s="1"/>
  <c r="G265" i="8"/>
  <c r="F133" i="8"/>
  <c r="F268" i="8" s="1"/>
  <c r="F265" i="8"/>
  <c r="X245" i="1"/>
  <c r="X116" i="1"/>
  <c r="X79" i="1"/>
  <c r="X144" i="1"/>
  <c r="X94" i="1"/>
  <c r="X187" i="1"/>
  <c r="X158" i="1"/>
  <c r="X72" i="1"/>
  <c r="X232" i="1" s="1"/>
  <c r="X209" i="1"/>
  <c r="X86" i="1"/>
  <c r="X123" i="1"/>
  <c r="W130" i="10" s="1"/>
  <c r="X214" i="1"/>
  <c r="X137" i="1"/>
  <c r="X173" i="1"/>
  <c r="X151" i="1"/>
  <c r="X204" i="1"/>
  <c r="X101" i="1"/>
  <c r="X194" i="1"/>
  <c r="X165" i="1"/>
  <c r="X108" i="1"/>
  <c r="X180" i="1"/>
  <c r="X221" i="1"/>
  <c r="X199" i="1"/>
  <c r="X130" i="1"/>
  <c r="X226" i="1"/>
  <c r="W86" i="1"/>
  <c r="W108" i="1"/>
  <c r="W72" i="1"/>
  <c r="W165" i="1"/>
  <c r="V136" i="10" s="1"/>
  <c r="W123" i="1"/>
  <c r="W116" i="1"/>
  <c r="W121" i="1"/>
  <c r="O115" i="2"/>
  <c r="N115" i="2"/>
  <c r="M115" i="2"/>
  <c r="L115" i="2"/>
  <c r="K115" i="2"/>
  <c r="J115" i="2"/>
  <c r="I115" i="2"/>
  <c r="H115" i="2"/>
  <c r="G115" i="2"/>
  <c r="F115" i="2"/>
  <c r="E115" i="2"/>
  <c r="D115" i="2"/>
  <c r="C115" i="2"/>
  <c r="C111" i="2"/>
  <c r="X237" i="1" l="1"/>
  <c r="W137" i="10"/>
  <c r="W138" i="10"/>
  <c r="W132" i="10"/>
  <c r="W144" i="10"/>
  <c r="W133" i="10"/>
  <c r="W136" i="10"/>
  <c r="W146" i="10"/>
  <c r="W127" i="10"/>
  <c r="W143" i="10"/>
  <c r="W131" i="10"/>
  <c r="V130" i="10"/>
  <c r="W142" i="10"/>
  <c r="W141" i="10"/>
  <c r="W134" i="10"/>
  <c r="W135" i="10"/>
  <c r="X130" i="8"/>
  <c r="X263" i="8"/>
  <c r="W133" i="8"/>
  <c r="W268" i="8" s="1"/>
  <c r="W265" i="8"/>
  <c r="X102" i="1"/>
  <c r="W77" i="10" s="1"/>
  <c r="X131" i="1"/>
  <c r="W81" i="10" s="1"/>
  <c r="X205" i="1"/>
  <c r="X206" i="1" s="1"/>
  <c r="W92" i="10" s="1"/>
  <c r="X210" i="1"/>
  <c r="X211" i="1" s="1"/>
  <c r="W93" i="10" s="1"/>
  <c r="X152" i="1"/>
  <c r="W84" i="10" s="1"/>
  <c r="X159" i="1"/>
  <c r="W85" i="10" s="1"/>
  <c r="X227" i="1"/>
  <c r="X228" i="1" s="1"/>
  <c r="X138" i="1"/>
  <c r="W82" i="10" s="1"/>
  <c r="X215" i="1"/>
  <c r="X216" i="1" s="1"/>
  <c r="W94" i="10" s="1"/>
  <c r="X145" i="1"/>
  <c r="W83" i="10" s="1"/>
  <c r="X181" i="1"/>
  <c r="W88" i="10" s="1"/>
  <c r="X166" i="1"/>
  <c r="W86" i="10" s="1"/>
  <c r="X174" i="1"/>
  <c r="W87" i="10" s="1"/>
  <c r="X242" i="1"/>
  <c r="X251" i="1"/>
  <c r="W152" i="10" s="1"/>
  <c r="F163" i="10" s="1"/>
  <c r="X200" i="1"/>
  <c r="X124" i="1"/>
  <c r="W80" i="10" s="1"/>
  <c r="X247" i="1"/>
  <c r="W166" i="1"/>
  <c r="V86" i="10" s="1"/>
  <c r="W124" i="1"/>
  <c r="V80" i="10" s="1"/>
  <c r="O111" i="2"/>
  <c r="N111" i="2"/>
  <c r="M111" i="2"/>
  <c r="L111" i="2"/>
  <c r="K111" i="2"/>
  <c r="J111" i="2"/>
  <c r="I111" i="2"/>
  <c r="H111" i="2"/>
  <c r="G111" i="2"/>
  <c r="F111" i="2"/>
  <c r="E111" i="2"/>
  <c r="D111" i="2"/>
  <c r="X248" i="1" l="1"/>
  <c r="W99" i="10" s="1"/>
  <c r="F115" i="10" s="1"/>
  <c r="F165" i="10"/>
  <c r="W154" i="10"/>
  <c r="W150" i="10"/>
  <c r="F161" i="10" s="1"/>
  <c r="Z133" i="8"/>
  <c r="X133" i="8"/>
  <c r="X268" i="8" s="1"/>
  <c r="X265" i="8"/>
  <c r="W96" i="10"/>
  <c r="F119" i="10" s="1"/>
  <c r="X252" i="1"/>
  <c r="X201" i="1"/>
  <c r="W91" i="10" s="1"/>
  <c r="E54" i="1"/>
  <c r="L43" i="1"/>
  <c r="D60" i="1"/>
  <c r="D58" i="1"/>
  <c r="E44" i="1"/>
  <c r="C60" i="1" l="1"/>
  <c r="D247" i="11" s="1"/>
  <c r="E247" i="11"/>
  <c r="C58" i="1"/>
  <c r="D245" i="11" s="1"/>
  <c r="E245" i="11"/>
  <c r="X253" i="1"/>
  <c r="W101" i="10" s="1"/>
  <c r="F117" i="10" s="1"/>
  <c r="J36" i="1"/>
  <c r="J45" i="1" s="1"/>
  <c r="B44" i="1"/>
  <c r="E59" i="1"/>
  <c r="P43" i="1"/>
  <c r="M43" i="1"/>
  <c r="D44" i="1"/>
  <c r="E231" i="11" s="1"/>
  <c r="D54" i="1"/>
  <c r="E241" i="11" s="1"/>
  <c r="B54" i="1"/>
  <c r="G50" i="1" s="1"/>
  <c r="C37" i="1"/>
  <c r="D224" i="11" s="1"/>
  <c r="D49" i="1"/>
  <c r="E236" i="11" s="1"/>
  <c r="L49" i="1"/>
  <c r="C51" i="1"/>
  <c r="D238" i="11" s="1"/>
  <c r="L51" i="1"/>
  <c r="D48" i="1"/>
  <c r="E235" i="11" s="1"/>
  <c r="L48" i="1"/>
  <c r="C40" i="1"/>
  <c r="D227" i="11" s="1"/>
  <c r="L40" i="1"/>
  <c r="D56" i="1"/>
  <c r="C45" i="1"/>
  <c r="D232" i="11" s="1"/>
  <c r="L45" i="1"/>
  <c r="C38" i="1"/>
  <c r="D225" i="11" s="1"/>
  <c r="L38" i="1"/>
  <c r="C55" i="1"/>
  <c r="D242" i="11" s="1"/>
  <c r="L55" i="1"/>
  <c r="C39" i="1"/>
  <c r="D226" i="11" s="1"/>
  <c r="L39" i="1"/>
  <c r="C41" i="1"/>
  <c r="D228" i="11" s="1"/>
  <c r="L41" i="1"/>
  <c r="C47" i="1"/>
  <c r="D234" i="11" s="1"/>
  <c r="C43" i="1"/>
  <c r="D230" i="11" s="1"/>
  <c r="C56" i="1" l="1"/>
  <c r="D243" i="11" s="1"/>
  <c r="E243" i="11"/>
  <c r="V112" i="1"/>
  <c r="N112" i="1"/>
  <c r="F112" i="1"/>
  <c r="U112" i="1"/>
  <c r="M112" i="1"/>
  <c r="E112" i="1"/>
  <c r="T112" i="1"/>
  <c r="L112" i="1"/>
  <c r="D112" i="1"/>
  <c r="Q112" i="1"/>
  <c r="S112" i="1"/>
  <c r="K112" i="1"/>
  <c r="C112" i="1"/>
  <c r="I112" i="1"/>
  <c r="R112" i="1"/>
  <c r="J112" i="1"/>
  <c r="P112" i="1"/>
  <c r="H112" i="1"/>
  <c r="O112" i="1"/>
  <c r="G112" i="1"/>
  <c r="P77" i="1"/>
  <c r="P106" i="1"/>
  <c r="P235" i="1" s="1"/>
  <c r="P70" i="1"/>
  <c r="J46" i="1"/>
  <c r="K45" i="1" s="1"/>
  <c r="L37" i="1"/>
  <c r="P37" i="1" s="1"/>
  <c r="L47" i="1"/>
  <c r="P47" i="1" s="1"/>
  <c r="L36" i="1"/>
  <c r="M36" i="1" s="1"/>
  <c r="B59" i="1"/>
  <c r="D59" i="1"/>
  <c r="E246" i="11" s="1"/>
  <c r="L44" i="1"/>
  <c r="Q38" i="1" s="1"/>
  <c r="P38" i="1"/>
  <c r="M38" i="1"/>
  <c r="P48" i="1"/>
  <c r="N48" i="1"/>
  <c r="G38" i="1"/>
  <c r="P41" i="1"/>
  <c r="M41" i="1"/>
  <c r="P45" i="1"/>
  <c r="M45" i="1"/>
  <c r="P51" i="1"/>
  <c r="M51" i="1"/>
  <c r="M55" i="1"/>
  <c r="P55" i="1"/>
  <c r="P39" i="1"/>
  <c r="M39" i="1"/>
  <c r="P49" i="1"/>
  <c r="N49" i="1"/>
  <c r="P40" i="1"/>
  <c r="M40" i="1"/>
  <c r="L54" i="1"/>
  <c r="C54" i="1"/>
  <c r="D241" i="11" s="1"/>
  <c r="O106" i="1"/>
  <c r="O92" i="1"/>
  <c r="O235" i="1" s="1"/>
  <c r="C44" i="1"/>
  <c r="D231" i="11" s="1"/>
  <c r="L52" i="1"/>
  <c r="O148" i="10" l="1"/>
  <c r="N148" i="10"/>
  <c r="O238" i="1"/>
  <c r="N98" i="10" s="1"/>
  <c r="O128" i="10"/>
  <c r="P110" i="1"/>
  <c r="P238" i="1" s="1"/>
  <c r="O98" i="10" s="1"/>
  <c r="O124" i="10"/>
  <c r="N128" i="10"/>
  <c r="O110" i="1"/>
  <c r="O123" i="10"/>
  <c r="I17" i="2"/>
  <c r="D17" i="2"/>
  <c r="F17" i="2"/>
  <c r="M17" i="2"/>
  <c r="G17" i="2"/>
  <c r="L17" i="2"/>
  <c r="E17" i="2"/>
  <c r="N17" i="2"/>
  <c r="C17" i="2"/>
  <c r="O17" i="2"/>
  <c r="K17" i="2"/>
  <c r="H17" i="2"/>
  <c r="J17" i="2"/>
  <c r="D14" i="2"/>
  <c r="L14" i="2"/>
  <c r="H14" i="2"/>
  <c r="K14" i="2"/>
  <c r="E14" i="2"/>
  <c r="M14" i="2"/>
  <c r="I14" i="2"/>
  <c r="C14" i="2"/>
  <c r="F14" i="2"/>
  <c r="N14" i="2"/>
  <c r="G14" i="2"/>
  <c r="O14" i="2"/>
  <c r="J14" i="2"/>
  <c r="R114" i="1"/>
  <c r="T114" i="1"/>
  <c r="U82" i="1"/>
  <c r="U229" i="1" s="1"/>
  <c r="J82" i="1"/>
  <c r="J229" i="1" s="1"/>
  <c r="S82" i="1"/>
  <c r="S229" i="1" s="1"/>
  <c r="P82" i="1"/>
  <c r="P229" i="1" s="1"/>
  <c r="H82" i="1"/>
  <c r="H229" i="1" s="1"/>
  <c r="R82" i="1"/>
  <c r="R229" i="1" s="1"/>
  <c r="O82" i="1"/>
  <c r="O229" i="1" s="1"/>
  <c r="G82" i="1"/>
  <c r="G229" i="1" s="1"/>
  <c r="E82" i="1"/>
  <c r="E229" i="1" s="1"/>
  <c r="V82" i="1"/>
  <c r="V229" i="1" s="1"/>
  <c r="K82" i="1"/>
  <c r="K229" i="1" s="1"/>
  <c r="Q82" i="1"/>
  <c r="Q229" i="1" s="1"/>
  <c r="N82" i="1"/>
  <c r="N229" i="1" s="1"/>
  <c r="F82" i="1"/>
  <c r="F229" i="1" s="1"/>
  <c r="M82" i="1"/>
  <c r="M229" i="1" s="1"/>
  <c r="T82" i="1"/>
  <c r="T229" i="1" s="1"/>
  <c r="L82" i="1"/>
  <c r="L229" i="1" s="1"/>
  <c r="D82" i="1"/>
  <c r="D229" i="1" s="1"/>
  <c r="C82" i="1"/>
  <c r="C229" i="1" s="1"/>
  <c r="I82" i="1"/>
  <c r="I229" i="1" s="1"/>
  <c r="U114" i="1"/>
  <c r="P80" i="1"/>
  <c r="S114" i="1"/>
  <c r="Q114" i="1"/>
  <c r="W112" i="1"/>
  <c r="V114" i="1"/>
  <c r="P109" i="1"/>
  <c r="O78" i="10" s="1"/>
  <c r="H106" i="1"/>
  <c r="J106" i="1"/>
  <c r="E106" i="1"/>
  <c r="M106" i="1"/>
  <c r="I106" i="1"/>
  <c r="D106" i="1"/>
  <c r="F106" i="1"/>
  <c r="H92" i="1"/>
  <c r="H235" i="1" s="1"/>
  <c r="I92" i="1"/>
  <c r="D92" i="1"/>
  <c r="D235" i="1" s="1"/>
  <c r="J92" i="1"/>
  <c r="J235" i="1" s="1"/>
  <c r="E92" i="1"/>
  <c r="E235" i="1" s="1"/>
  <c r="F92" i="1"/>
  <c r="F235" i="1" s="1"/>
  <c r="O109" i="1"/>
  <c r="N78" i="10" s="1"/>
  <c r="L106" i="1"/>
  <c r="L92" i="1"/>
  <c r="L235" i="1" s="1"/>
  <c r="C92" i="1"/>
  <c r="K92" i="1"/>
  <c r="N92" i="1"/>
  <c r="N235" i="1" s="1"/>
  <c r="G92" i="1"/>
  <c r="G235" i="1" s="1"/>
  <c r="K106" i="1"/>
  <c r="G106" i="1"/>
  <c r="N106" i="1"/>
  <c r="C106" i="1"/>
  <c r="W68" i="1"/>
  <c r="P114" i="1"/>
  <c r="P73" i="1"/>
  <c r="E61" i="1"/>
  <c r="E62" i="1" s="1"/>
  <c r="J53" i="1"/>
  <c r="K43" i="1"/>
  <c r="K44" i="1"/>
  <c r="K37" i="1"/>
  <c r="K40" i="1"/>
  <c r="K41" i="1"/>
  <c r="K42" i="1"/>
  <c r="K39" i="1"/>
  <c r="K38" i="1"/>
  <c r="K36" i="1"/>
  <c r="M47" i="1"/>
  <c r="P36" i="1"/>
  <c r="M37" i="1"/>
  <c r="B62" i="1"/>
  <c r="D62" i="1"/>
  <c r="D114" i="1"/>
  <c r="C129" i="10" s="1"/>
  <c r="C149" i="10" s="1"/>
  <c r="O114" i="1"/>
  <c r="N129" i="10" s="1"/>
  <c r="N149" i="10" s="1"/>
  <c r="I114" i="1"/>
  <c r="H129" i="10" s="1"/>
  <c r="H149" i="10" s="1"/>
  <c r="F114" i="1"/>
  <c r="E129" i="10" s="1"/>
  <c r="E149" i="10" s="1"/>
  <c r="J114" i="1"/>
  <c r="I129" i="10" s="1"/>
  <c r="I149" i="10" s="1"/>
  <c r="K114" i="1"/>
  <c r="J129" i="10" s="1"/>
  <c r="J149" i="10" s="1"/>
  <c r="L114" i="1"/>
  <c r="K129" i="10" s="1"/>
  <c r="K149" i="10" s="1"/>
  <c r="E114" i="1"/>
  <c r="D129" i="10" s="1"/>
  <c r="D149" i="10" s="1"/>
  <c r="N114" i="1"/>
  <c r="M129" i="10" s="1"/>
  <c r="M149" i="10" s="1"/>
  <c r="H114" i="1"/>
  <c r="G129" i="10" s="1"/>
  <c r="G149" i="10" s="1"/>
  <c r="C114" i="1"/>
  <c r="B129" i="10" s="1"/>
  <c r="B149" i="10" s="1"/>
  <c r="G114" i="1"/>
  <c r="F129" i="10" s="1"/>
  <c r="F149" i="10" s="1"/>
  <c r="F59" i="1"/>
  <c r="C246" i="11" s="1"/>
  <c r="M44" i="1"/>
  <c r="P44" i="1"/>
  <c r="P54" i="1"/>
  <c r="M54" i="1"/>
  <c r="P52" i="1"/>
  <c r="M52" i="1"/>
  <c r="Q50" i="1"/>
  <c r="C52" i="1"/>
  <c r="M114" i="1"/>
  <c r="L129" i="10" s="1"/>
  <c r="L149" i="10" s="1"/>
  <c r="M92" i="1"/>
  <c r="K235" i="1" l="1"/>
  <c r="C148" i="10"/>
  <c r="F148" i="10"/>
  <c r="G238" i="1"/>
  <c r="F98" i="10" s="1"/>
  <c r="M235" i="1"/>
  <c r="M148" i="10"/>
  <c r="N238" i="1"/>
  <c r="M98" i="10" s="1"/>
  <c r="X68" i="1"/>
  <c r="C235" i="1"/>
  <c r="I235" i="1"/>
  <c r="E148" i="10"/>
  <c r="D148" i="10"/>
  <c r="E238" i="1"/>
  <c r="D98" i="10" s="1"/>
  <c r="O84" i="1"/>
  <c r="N125" i="10" s="1"/>
  <c r="G148" i="10"/>
  <c r="I148" i="10"/>
  <c r="K148" i="10"/>
  <c r="L238" i="1"/>
  <c r="K98" i="10" s="1"/>
  <c r="B128" i="10"/>
  <c r="C110" i="1"/>
  <c r="M128" i="10"/>
  <c r="N110" i="1"/>
  <c r="K128" i="10"/>
  <c r="L110" i="1"/>
  <c r="E128" i="10"/>
  <c r="F110" i="1"/>
  <c r="F238" i="1" s="1"/>
  <c r="E98" i="10" s="1"/>
  <c r="F128" i="10"/>
  <c r="G110" i="1"/>
  <c r="C128" i="10"/>
  <c r="D110" i="1"/>
  <c r="D238" i="1" s="1"/>
  <c r="C98" i="10" s="1"/>
  <c r="J128" i="10"/>
  <c r="K110" i="1"/>
  <c r="H128" i="10"/>
  <c r="I110" i="1"/>
  <c r="M110" i="1"/>
  <c r="O73" i="10"/>
  <c r="D128" i="10"/>
  <c r="E110" i="1"/>
  <c r="I128" i="10"/>
  <c r="J110" i="1"/>
  <c r="J238" i="1" s="1"/>
  <c r="I98" i="10" s="1"/>
  <c r="G128" i="10"/>
  <c r="H110" i="1"/>
  <c r="H238" i="1" s="1"/>
  <c r="G98" i="10" s="1"/>
  <c r="X112" i="1"/>
  <c r="O129" i="10"/>
  <c r="O149" i="10" s="1"/>
  <c r="C160" i="10"/>
  <c r="B160" i="10"/>
  <c r="H109" i="1"/>
  <c r="G78" i="10" s="1"/>
  <c r="D32" i="2"/>
  <c r="L32" i="2"/>
  <c r="N32" i="2"/>
  <c r="H32" i="2"/>
  <c r="J32" i="2"/>
  <c r="C32" i="2"/>
  <c r="E32" i="2"/>
  <c r="M32" i="2"/>
  <c r="F32" i="2"/>
  <c r="K32" i="2"/>
  <c r="G32" i="2"/>
  <c r="O32" i="2"/>
  <c r="I32" i="2"/>
  <c r="M109" i="1"/>
  <c r="L78" i="10" s="1"/>
  <c r="L128" i="10"/>
  <c r="C59" i="1"/>
  <c r="D246" i="11" s="1"/>
  <c r="D239" i="11"/>
  <c r="O74" i="10"/>
  <c r="Q84" i="1"/>
  <c r="Q230" i="1" s="1"/>
  <c r="S84" i="1"/>
  <c r="S230" i="1" s="1"/>
  <c r="Q117" i="1"/>
  <c r="V84" i="1"/>
  <c r="V230" i="1" s="1"/>
  <c r="S117" i="1"/>
  <c r="U84" i="1"/>
  <c r="U230" i="1" s="1"/>
  <c r="T84" i="1"/>
  <c r="T230" i="1" s="1"/>
  <c r="T117" i="1"/>
  <c r="R84" i="1"/>
  <c r="R230" i="1" s="1"/>
  <c r="R117" i="1"/>
  <c r="V117" i="1"/>
  <c r="U117" i="1"/>
  <c r="W82" i="1"/>
  <c r="W229" i="1" s="1"/>
  <c r="I109" i="1"/>
  <c r="H78" i="10" s="1"/>
  <c r="F109" i="1"/>
  <c r="E78" i="10" s="1"/>
  <c r="D109" i="1"/>
  <c r="C78" i="10" s="1"/>
  <c r="F84" i="1"/>
  <c r="D84" i="1"/>
  <c r="H84" i="1"/>
  <c r="G125" i="10" s="1"/>
  <c r="I84" i="1"/>
  <c r="X70" i="1"/>
  <c r="X106" i="1"/>
  <c r="E109" i="1"/>
  <c r="D78" i="10" s="1"/>
  <c r="X77" i="1"/>
  <c r="E84" i="1"/>
  <c r="P84" i="1"/>
  <c r="P230" i="1" s="1"/>
  <c r="J109" i="1"/>
  <c r="I78" i="10" s="1"/>
  <c r="J84" i="1"/>
  <c r="M84" i="1"/>
  <c r="X92" i="1"/>
  <c r="X235" i="1" s="1"/>
  <c r="N109" i="1"/>
  <c r="M78" i="10" s="1"/>
  <c r="N117" i="1"/>
  <c r="O117" i="1"/>
  <c r="N79" i="10" s="1"/>
  <c r="J117" i="1"/>
  <c r="I79" i="10" s="1"/>
  <c r="D117" i="1"/>
  <c r="C79" i="10" s="1"/>
  <c r="G109" i="1"/>
  <c r="F78" i="10" s="1"/>
  <c r="F117" i="1"/>
  <c r="I117" i="1"/>
  <c r="H79" i="10" s="1"/>
  <c r="L84" i="1"/>
  <c r="K125" i="10" s="1"/>
  <c r="K109" i="1"/>
  <c r="J78" i="10" s="1"/>
  <c r="L117" i="1"/>
  <c r="L109" i="1"/>
  <c r="K78" i="10" s="1"/>
  <c r="C109" i="1"/>
  <c r="B78" i="10" s="1"/>
  <c r="G84" i="1"/>
  <c r="F125" i="10" s="1"/>
  <c r="C84" i="1"/>
  <c r="B125" i="10" s="1"/>
  <c r="N84" i="1"/>
  <c r="M125" i="10" s="1"/>
  <c r="K84" i="1"/>
  <c r="J125" i="10" s="1"/>
  <c r="P117" i="1"/>
  <c r="O79" i="10" s="1"/>
  <c r="J54" i="1"/>
  <c r="C117" i="1"/>
  <c r="H117" i="1"/>
  <c r="G79" i="10" s="1"/>
  <c r="G117" i="1"/>
  <c r="F79" i="10" s="1"/>
  <c r="K117" i="1"/>
  <c r="J79" i="10" s="1"/>
  <c r="E117" i="1"/>
  <c r="D79" i="10" s="1"/>
  <c r="M117" i="1"/>
  <c r="L79" i="10" s="1"/>
  <c r="O87" i="1"/>
  <c r="N75" i="10" s="1"/>
  <c r="W114" i="1"/>
  <c r="V129" i="10" s="1"/>
  <c r="W92" i="1"/>
  <c r="W148" i="10" l="1"/>
  <c r="F159" i="10" s="1"/>
  <c r="H148" i="10"/>
  <c r="I238" i="1"/>
  <c r="H98" i="10" s="1"/>
  <c r="B148" i="10"/>
  <c r="B159" i="10" s="1"/>
  <c r="C238" i="1"/>
  <c r="B98" i="10" s="1"/>
  <c r="B113" i="10" s="1"/>
  <c r="T233" i="1"/>
  <c r="L148" i="10"/>
  <c r="D159" i="10" s="1"/>
  <c r="M238" i="1"/>
  <c r="L98" i="10" s="1"/>
  <c r="D113" i="10" s="1"/>
  <c r="D160" i="10"/>
  <c r="P233" i="1"/>
  <c r="S233" i="1"/>
  <c r="X229" i="1"/>
  <c r="J148" i="10"/>
  <c r="K238" i="1"/>
  <c r="J98" i="10" s="1"/>
  <c r="X110" i="1"/>
  <c r="X238" i="1" s="1"/>
  <c r="W98" i="10" s="1"/>
  <c r="F113" i="10" s="1"/>
  <c r="T88" i="1"/>
  <c r="S88" i="1"/>
  <c r="X82" i="1"/>
  <c r="U88" i="1"/>
  <c r="U233" i="1" s="1"/>
  <c r="Q88" i="1"/>
  <c r="Q233" i="1" s="1"/>
  <c r="R88" i="1"/>
  <c r="R233" i="1" s="1"/>
  <c r="V88" i="1"/>
  <c r="V233" i="1" s="1"/>
  <c r="O125" i="10"/>
  <c r="P88" i="1"/>
  <c r="E160" i="10"/>
  <c r="V149" i="10"/>
  <c r="C114" i="10"/>
  <c r="C62" i="1"/>
  <c r="X80" i="1"/>
  <c r="W74" i="10" s="1"/>
  <c r="W124" i="10"/>
  <c r="X109" i="1"/>
  <c r="W78" i="10" s="1"/>
  <c r="W128" i="10"/>
  <c r="M87" i="1"/>
  <c r="L75" i="10" s="1"/>
  <c r="L125" i="10"/>
  <c r="W123" i="10"/>
  <c r="J87" i="1"/>
  <c r="I75" i="10" s="1"/>
  <c r="I125" i="10"/>
  <c r="I87" i="1"/>
  <c r="H75" i="10" s="1"/>
  <c r="H125" i="10"/>
  <c r="D87" i="1"/>
  <c r="C75" i="10" s="1"/>
  <c r="C125" i="10"/>
  <c r="E87" i="1"/>
  <c r="D75" i="10" s="1"/>
  <c r="D125" i="10"/>
  <c r="F87" i="1"/>
  <c r="E75" i="10" s="1"/>
  <c r="E125" i="10"/>
  <c r="W126" i="10"/>
  <c r="V87" i="1"/>
  <c r="O147" i="10"/>
  <c r="T87" i="1"/>
  <c r="U87" i="1"/>
  <c r="S87" i="1"/>
  <c r="R87" i="1"/>
  <c r="Q87" i="1"/>
  <c r="X73" i="1"/>
  <c r="B79" i="10"/>
  <c r="K79" i="10"/>
  <c r="H87" i="1"/>
  <c r="G75" i="10" s="1"/>
  <c r="M79" i="10"/>
  <c r="E79" i="10"/>
  <c r="P87" i="1"/>
  <c r="G87" i="1"/>
  <c r="F75" i="10" s="1"/>
  <c r="L87" i="1"/>
  <c r="K75" i="10" s="1"/>
  <c r="W84" i="1"/>
  <c r="V125" i="10" s="1"/>
  <c r="X114" i="1"/>
  <c r="X95" i="1"/>
  <c r="W76" i="10" s="1"/>
  <c r="N87" i="1"/>
  <c r="C87" i="1"/>
  <c r="K87" i="1"/>
  <c r="J59" i="1"/>
  <c r="K58" i="1" s="1"/>
  <c r="W117" i="1"/>
  <c r="W106" i="1"/>
  <c r="W235" i="1" s="1"/>
  <c r="C4" i="5"/>
  <c r="B4" i="5"/>
  <c r="O101" i="1"/>
  <c r="N127" i="10" s="1"/>
  <c r="N101" i="1"/>
  <c r="M127" i="10" s="1"/>
  <c r="M101" i="1"/>
  <c r="L127" i="10" s="1"/>
  <c r="L101" i="1"/>
  <c r="K127" i="10" s="1"/>
  <c r="K101" i="1"/>
  <c r="J127" i="10" s="1"/>
  <c r="J101" i="1"/>
  <c r="I127" i="10" s="1"/>
  <c r="I101" i="1"/>
  <c r="H127" i="10" s="1"/>
  <c r="H101" i="1"/>
  <c r="G127" i="10" s="1"/>
  <c r="G101" i="1"/>
  <c r="F127" i="10" s="1"/>
  <c r="F101" i="1"/>
  <c r="E127" i="10" s="1"/>
  <c r="E101" i="1"/>
  <c r="D127" i="10" s="1"/>
  <c r="D101" i="1"/>
  <c r="C127" i="10" s="1"/>
  <c r="C101" i="1"/>
  <c r="B127" i="10" s="1"/>
  <c r="O94" i="1"/>
  <c r="N94" i="1"/>
  <c r="M94" i="1"/>
  <c r="L94" i="1"/>
  <c r="K126" i="10" s="1"/>
  <c r="K94" i="1"/>
  <c r="J126" i="10" s="1"/>
  <c r="J94" i="1"/>
  <c r="I94" i="1"/>
  <c r="H94" i="1"/>
  <c r="G94" i="1"/>
  <c r="F126" i="10" s="1"/>
  <c r="F94" i="1"/>
  <c r="E94" i="1"/>
  <c r="D94" i="1"/>
  <c r="C94" i="1"/>
  <c r="B126" i="10" s="1"/>
  <c r="C159" i="10" l="1"/>
  <c r="C113" i="10"/>
  <c r="V148" i="10"/>
  <c r="E159" i="10" s="1"/>
  <c r="V128" i="10"/>
  <c r="W110" i="1"/>
  <c r="W238" i="1" s="1"/>
  <c r="V98" i="10" s="1"/>
  <c r="E113" i="10" s="1"/>
  <c r="W73" i="10"/>
  <c r="O97" i="10"/>
  <c r="W129" i="10"/>
  <c r="W149" i="10" s="1"/>
  <c r="D114" i="10"/>
  <c r="B114" i="10"/>
  <c r="I126" i="10"/>
  <c r="H126" i="10"/>
  <c r="L126" i="10"/>
  <c r="E126" i="10"/>
  <c r="M126" i="10"/>
  <c r="C126" i="10"/>
  <c r="D126" i="10"/>
  <c r="N126" i="10"/>
  <c r="G126" i="10"/>
  <c r="O75" i="10"/>
  <c r="B75" i="10"/>
  <c r="J75" i="10"/>
  <c r="M75" i="10"/>
  <c r="V79" i="10"/>
  <c r="E114" i="10" s="1"/>
  <c r="W87" i="1"/>
  <c r="V75" i="10" s="1"/>
  <c r="H95" i="1"/>
  <c r="G76" i="10" s="1"/>
  <c r="J95" i="1"/>
  <c r="I76" i="10" s="1"/>
  <c r="I95" i="1"/>
  <c r="H76" i="10" s="1"/>
  <c r="M95" i="1"/>
  <c r="L76" i="10" s="1"/>
  <c r="D95" i="1"/>
  <c r="C76" i="10" s="1"/>
  <c r="E95" i="1"/>
  <c r="D76" i="10" s="1"/>
  <c r="F95" i="1"/>
  <c r="E76" i="10" s="1"/>
  <c r="N95" i="1"/>
  <c r="M76" i="10" s="1"/>
  <c r="O95" i="1"/>
  <c r="N76" i="10" s="1"/>
  <c r="X117" i="1"/>
  <c r="X84" i="1"/>
  <c r="X230" i="1" s="1"/>
  <c r="L95" i="1"/>
  <c r="K76" i="10" s="1"/>
  <c r="K56" i="1"/>
  <c r="K55" i="1"/>
  <c r="W109" i="1"/>
  <c r="V78" i="10" s="1"/>
  <c r="K57" i="1"/>
  <c r="K54" i="1"/>
  <c r="K53" i="1"/>
  <c r="G95" i="1"/>
  <c r="F76" i="10" s="1"/>
  <c r="C102" i="1"/>
  <c r="B77" i="10" s="1"/>
  <c r="K95" i="1"/>
  <c r="J76" i="10" s="1"/>
  <c r="D102" i="1"/>
  <c r="C77" i="10" s="1"/>
  <c r="L102" i="1"/>
  <c r="K77" i="10" s="1"/>
  <c r="K102" i="1"/>
  <c r="J77" i="10" s="1"/>
  <c r="E102" i="1"/>
  <c r="D77" i="10" s="1"/>
  <c r="M102" i="1"/>
  <c r="L77" i="10" s="1"/>
  <c r="F102" i="1"/>
  <c r="E77" i="10" s="1"/>
  <c r="N102" i="1"/>
  <c r="M77" i="10" s="1"/>
  <c r="G102" i="1"/>
  <c r="F77" i="10" s="1"/>
  <c r="O102" i="1"/>
  <c r="N77" i="10" s="1"/>
  <c r="J102" i="1"/>
  <c r="I77" i="10" s="1"/>
  <c r="C95" i="1"/>
  <c r="B76" i="10" s="1"/>
  <c r="H102" i="1"/>
  <c r="G77" i="10" s="1"/>
  <c r="I102" i="1"/>
  <c r="H77" i="10" s="1"/>
  <c r="F160" i="10" l="1"/>
  <c r="W125" i="10"/>
  <c r="X88" i="1"/>
  <c r="X233" i="1" s="1"/>
  <c r="W79" i="10"/>
  <c r="F114" i="10" s="1"/>
  <c r="X87" i="1"/>
  <c r="W147" i="10"/>
  <c r="F158" i="10" s="1"/>
  <c r="K59" i="1"/>
  <c r="W75" i="10" l="1"/>
  <c r="W97" i="10"/>
  <c r="O221" i="1"/>
  <c r="N145" i="10" s="1"/>
  <c r="N153" i="10" s="1"/>
  <c r="N221" i="1"/>
  <c r="M221" i="1"/>
  <c r="L145" i="10" s="1"/>
  <c r="L153" i="10" s="1"/>
  <c r="L221" i="1"/>
  <c r="K221" i="1"/>
  <c r="J221" i="1"/>
  <c r="I145" i="10" s="1"/>
  <c r="I153" i="10" s="1"/>
  <c r="I221" i="1"/>
  <c r="H221" i="1"/>
  <c r="G221" i="1"/>
  <c r="F221" i="1"/>
  <c r="E221" i="1"/>
  <c r="D221" i="1"/>
  <c r="C221" i="1"/>
  <c r="M214" i="1"/>
  <c r="L214" i="1"/>
  <c r="K144" i="10" s="1"/>
  <c r="K214" i="1"/>
  <c r="J144" i="10" s="1"/>
  <c r="J214" i="1"/>
  <c r="I214" i="1"/>
  <c r="H214" i="1"/>
  <c r="G214" i="1"/>
  <c r="F144" i="10" s="1"/>
  <c r="F214" i="1"/>
  <c r="E214" i="1"/>
  <c r="D214" i="1"/>
  <c r="C214" i="1"/>
  <c r="B144" i="10" s="1"/>
  <c r="O209" i="1"/>
  <c r="N209" i="1"/>
  <c r="M209" i="1"/>
  <c r="L209" i="1"/>
  <c r="K143" i="10" s="1"/>
  <c r="K209" i="1"/>
  <c r="J143" i="10" s="1"/>
  <c r="J209" i="1"/>
  <c r="I209" i="1"/>
  <c r="H209" i="1"/>
  <c r="C209" i="1"/>
  <c r="B143" i="10" s="1"/>
  <c r="O151" i="1"/>
  <c r="N151" i="1"/>
  <c r="M151" i="1"/>
  <c r="L151" i="1"/>
  <c r="K151" i="1"/>
  <c r="J151" i="1"/>
  <c r="I151" i="1"/>
  <c r="H151" i="1"/>
  <c r="G151" i="1"/>
  <c r="F151" i="1"/>
  <c r="E151" i="1"/>
  <c r="D151" i="1"/>
  <c r="C151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C187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C130" i="1"/>
  <c r="O79" i="1"/>
  <c r="N79" i="1"/>
  <c r="M79" i="1"/>
  <c r="L79" i="1"/>
  <c r="K79" i="1"/>
  <c r="J79" i="1"/>
  <c r="I79" i="1"/>
  <c r="H79" i="1"/>
  <c r="G79" i="1"/>
  <c r="F79" i="1"/>
  <c r="E79" i="1"/>
  <c r="D79" i="1"/>
  <c r="C79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F112" i="10" l="1"/>
  <c r="E145" i="10"/>
  <c r="E153" i="10" s="1"/>
  <c r="G143" i="10"/>
  <c r="G145" i="10"/>
  <c r="G153" i="10" s="1"/>
  <c r="H144" i="10"/>
  <c r="N143" i="10"/>
  <c r="H143" i="10"/>
  <c r="C144" i="10"/>
  <c r="H145" i="10"/>
  <c r="H153" i="10" s="1"/>
  <c r="I144" i="10"/>
  <c r="I143" i="10"/>
  <c r="D144" i="10"/>
  <c r="L144" i="10"/>
  <c r="M143" i="10"/>
  <c r="E144" i="10"/>
  <c r="B145" i="10"/>
  <c r="B153" i="10" s="1"/>
  <c r="J145" i="10"/>
  <c r="J153" i="10" s="1"/>
  <c r="C145" i="10"/>
  <c r="C153" i="10" s="1"/>
  <c r="K145" i="10"/>
  <c r="K153" i="10" s="1"/>
  <c r="M145" i="10"/>
  <c r="M153" i="10" s="1"/>
  <c r="F145" i="10"/>
  <c r="F153" i="10" s="1"/>
  <c r="L143" i="10"/>
  <c r="G144" i="10"/>
  <c r="D145" i="10"/>
  <c r="D153" i="10" s="1"/>
  <c r="O210" i="1"/>
  <c r="J215" i="1"/>
  <c r="I215" i="1"/>
  <c r="I210" i="1"/>
  <c r="D215" i="1"/>
  <c r="H210" i="1"/>
  <c r="J210" i="1"/>
  <c r="E215" i="1"/>
  <c r="M215" i="1"/>
  <c r="F215" i="1"/>
  <c r="N210" i="1"/>
  <c r="M210" i="1"/>
  <c r="H215" i="1"/>
  <c r="L215" i="1"/>
  <c r="L210" i="1"/>
  <c r="G215" i="1"/>
  <c r="C215" i="1"/>
  <c r="K215" i="1"/>
  <c r="C210" i="1"/>
  <c r="K210" i="1"/>
  <c r="C164" i="10" l="1"/>
  <c r="D164" i="10"/>
  <c r="B164" i="10"/>
  <c r="O222" i="1"/>
  <c r="K222" i="1" l="1"/>
  <c r="I222" i="1"/>
  <c r="L222" i="1"/>
  <c r="C222" i="1"/>
  <c r="J222" i="1"/>
  <c r="D222" i="1"/>
  <c r="F222" i="1"/>
  <c r="H222" i="1"/>
  <c r="E222" i="1"/>
  <c r="M222" i="1"/>
  <c r="N222" i="1"/>
  <c r="G222" i="1"/>
  <c r="O204" i="1"/>
  <c r="N204" i="1"/>
  <c r="M204" i="1"/>
  <c r="L204" i="1"/>
  <c r="K142" i="10" s="1"/>
  <c r="J204" i="1"/>
  <c r="I204" i="1"/>
  <c r="H204" i="1"/>
  <c r="G204" i="1"/>
  <c r="F142" i="10" s="1"/>
  <c r="F204" i="1"/>
  <c r="E204" i="1"/>
  <c r="D204" i="1"/>
  <c r="C204" i="1"/>
  <c r="B142" i="10" s="1"/>
  <c r="L142" i="10" l="1"/>
  <c r="C142" i="10"/>
  <c r="G142" i="10"/>
  <c r="M142" i="10"/>
  <c r="E142" i="10"/>
  <c r="N142" i="10"/>
  <c r="H142" i="10"/>
  <c r="I142" i="10"/>
  <c r="D142" i="10"/>
  <c r="V173" i="11"/>
  <c r="W214" i="11" s="1"/>
  <c r="W145" i="10"/>
  <c r="M205" i="1"/>
  <c r="N205" i="1"/>
  <c r="I205" i="1"/>
  <c r="J205" i="1"/>
  <c r="D205" i="1"/>
  <c r="E205" i="1"/>
  <c r="F205" i="1"/>
  <c r="O205" i="1"/>
  <c r="H205" i="1"/>
  <c r="L205" i="1"/>
  <c r="G205" i="1"/>
  <c r="D257" i="8"/>
  <c r="E257" i="8"/>
  <c r="H257" i="8"/>
  <c r="J257" i="8"/>
  <c r="L257" i="8"/>
  <c r="G257" i="8"/>
  <c r="O257" i="8"/>
  <c r="C257" i="8"/>
  <c r="F257" i="8"/>
  <c r="K257" i="8"/>
  <c r="N257" i="8"/>
  <c r="M257" i="8"/>
  <c r="I257" i="8"/>
  <c r="W257" i="8"/>
  <c r="X257" i="8"/>
  <c r="J241" i="8"/>
  <c r="L241" i="8"/>
  <c r="C241" i="8"/>
  <c r="F241" i="8"/>
  <c r="H241" i="8"/>
  <c r="N241" i="8"/>
  <c r="E241" i="8"/>
  <c r="M241" i="8"/>
  <c r="G241" i="8"/>
  <c r="I241" i="8"/>
  <c r="D241" i="8"/>
  <c r="O241" i="8"/>
  <c r="K241" i="8"/>
  <c r="W241" i="8"/>
  <c r="X241" i="8"/>
  <c r="C205" i="1"/>
  <c r="K204" i="1"/>
  <c r="F164" i="10" l="1"/>
  <c r="W153" i="10"/>
  <c r="V214" i="11"/>
  <c r="U214" i="11"/>
  <c r="T214" i="11"/>
  <c r="S214" i="11"/>
  <c r="R214" i="11"/>
  <c r="Q214" i="11"/>
  <c r="V174" i="11"/>
  <c r="J142" i="10"/>
  <c r="X222" i="1"/>
  <c r="X223" i="1" s="1"/>
  <c r="W173" i="11"/>
  <c r="K205" i="1"/>
  <c r="D199" i="1"/>
  <c r="E199" i="1"/>
  <c r="F199" i="1"/>
  <c r="G199" i="1"/>
  <c r="H199" i="1"/>
  <c r="I199" i="1"/>
  <c r="J199" i="1"/>
  <c r="L199" i="1"/>
  <c r="M199" i="1"/>
  <c r="N199" i="1"/>
  <c r="O199" i="1"/>
  <c r="C199" i="1"/>
  <c r="C185" i="11" l="1"/>
  <c r="D185" i="11" s="1"/>
  <c r="W215" i="11"/>
  <c r="I141" i="10"/>
  <c r="G141" i="10"/>
  <c r="H141" i="10"/>
  <c r="F141" i="10"/>
  <c r="E141" i="10"/>
  <c r="M141" i="10"/>
  <c r="L141" i="10"/>
  <c r="C141" i="10"/>
  <c r="B141" i="10"/>
  <c r="N141" i="10"/>
  <c r="D141" i="10"/>
  <c r="K141" i="10"/>
  <c r="W95" i="10"/>
  <c r="C251" i="1"/>
  <c r="B152" i="10" s="1"/>
  <c r="H200" i="1"/>
  <c r="H252" i="1" s="1"/>
  <c r="H251" i="1"/>
  <c r="G152" i="10" s="1"/>
  <c r="I200" i="1"/>
  <c r="I252" i="1" s="1"/>
  <c r="I251" i="1"/>
  <c r="H152" i="10" s="1"/>
  <c r="G200" i="1"/>
  <c r="O200" i="1"/>
  <c r="F200" i="1"/>
  <c r="N200" i="1"/>
  <c r="E200" i="1"/>
  <c r="M200" i="1"/>
  <c r="M252" i="1" s="1"/>
  <c r="M251" i="1"/>
  <c r="L152" i="10" s="1"/>
  <c r="D200" i="1"/>
  <c r="L200" i="1"/>
  <c r="L252" i="1" s="1"/>
  <c r="L251" i="1"/>
  <c r="K152" i="10" s="1"/>
  <c r="J200" i="1"/>
  <c r="J252" i="1" s="1"/>
  <c r="J251" i="1"/>
  <c r="I152" i="10" s="1"/>
  <c r="C200" i="1"/>
  <c r="C252" i="1" s="1"/>
  <c r="K199" i="1"/>
  <c r="C180" i="1"/>
  <c r="B138" i="10" s="1"/>
  <c r="D180" i="1"/>
  <c r="E180" i="1"/>
  <c r="F180" i="1"/>
  <c r="G180" i="1"/>
  <c r="F138" i="10" s="1"/>
  <c r="H180" i="1"/>
  <c r="I180" i="1"/>
  <c r="J180" i="1"/>
  <c r="L180" i="1"/>
  <c r="K138" i="10" s="1"/>
  <c r="V215" i="11" l="1"/>
  <c r="S215" i="11"/>
  <c r="R215" i="11"/>
  <c r="T215" i="11"/>
  <c r="U215" i="11"/>
  <c r="Q215" i="11"/>
  <c r="V36" i="1"/>
  <c r="F118" i="10"/>
  <c r="H138" i="10"/>
  <c r="G138" i="10"/>
  <c r="E138" i="10"/>
  <c r="D138" i="10"/>
  <c r="C138" i="10"/>
  <c r="I138" i="10"/>
  <c r="J141" i="10"/>
  <c r="E181" i="1"/>
  <c r="D88" i="10" s="1"/>
  <c r="D181" i="1"/>
  <c r="C88" i="10" s="1"/>
  <c r="J181" i="1"/>
  <c r="I88" i="10" s="1"/>
  <c r="I181" i="1"/>
  <c r="H88" i="10" s="1"/>
  <c r="K251" i="1"/>
  <c r="J152" i="10" s="1"/>
  <c r="H181" i="1"/>
  <c r="G88" i="10" s="1"/>
  <c r="F181" i="1"/>
  <c r="E88" i="10" s="1"/>
  <c r="L181" i="1"/>
  <c r="K88" i="10" s="1"/>
  <c r="G181" i="1"/>
  <c r="F88" i="10" s="1"/>
  <c r="K200" i="1"/>
  <c r="K252" i="1" s="1"/>
  <c r="C181" i="1"/>
  <c r="B88" i="10" s="1"/>
  <c r="K180" i="1"/>
  <c r="J138" i="10" l="1"/>
  <c r="K181" i="1"/>
  <c r="J88" i="10" s="1"/>
  <c r="O76" i="2" l="1"/>
  <c r="O15" i="1" s="1"/>
  <c r="O194" i="8" s="1"/>
  <c r="N76" i="2"/>
  <c r="N15" i="1" s="1"/>
  <c r="N194" i="8" s="1"/>
  <c r="M76" i="2"/>
  <c r="M15" i="1" s="1"/>
  <c r="L76" i="2"/>
  <c r="L15" i="1" s="1"/>
  <c r="L194" i="8" s="1"/>
  <c r="K76" i="2"/>
  <c r="K15" i="1" s="1"/>
  <c r="K194" i="8" s="1"/>
  <c r="J76" i="2"/>
  <c r="J15" i="1" s="1"/>
  <c r="J194" i="8" s="1"/>
  <c r="I76" i="2"/>
  <c r="I15" i="1" s="1"/>
  <c r="I194" i="8" s="1"/>
  <c r="H76" i="2"/>
  <c r="H15" i="1" s="1"/>
  <c r="H194" i="8" s="1"/>
  <c r="G76" i="2"/>
  <c r="G15" i="1" s="1"/>
  <c r="G194" i="8" s="1"/>
  <c r="F76" i="2"/>
  <c r="F15" i="1" s="1"/>
  <c r="F194" i="8" s="1"/>
  <c r="E76" i="2"/>
  <c r="E15" i="1" s="1"/>
  <c r="E194" i="8" s="1"/>
  <c r="D76" i="2"/>
  <c r="D15" i="1" s="1"/>
  <c r="D194" i="8" s="1"/>
  <c r="C76" i="2"/>
  <c r="C15" i="1" s="1"/>
  <c r="C194" i="8" s="1"/>
  <c r="O72" i="2"/>
  <c r="O13" i="1" s="1"/>
  <c r="O180" i="8" s="1"/>
  <c r="N72" i="2"/>
  <c r="N13" i="1" s="1"/>
  <c r="N180" i="8" s="1"/>
  <c r="M72" i="2"/>
  <c r="M13" i="1" s="1"/>
  <c r="L72" i="2"/>
  <c r="L13" i="1" s="1"/>
  <c r="L180" i="8" s="1"/>
  <c r="K72" i="2"/>
  <c r="K13" i="1" s="1"/>
  <c r="K180" i="8" s="1"/>
  <c r="J72" i="2"/>
  <c r="J13" i="1" s="1"/>
  <c r="J180" i="8" s="1"/>
  <c r="I72" i="2"/>
  <c r="I13" i="1" s="1"/>
  <c r="I180" i="8" s="1"/>
  <c r="H72" i="2"/>
  <c r="H13" i="1" s="1"/>
  <c r="H180" i="8" s="1"/>
  <c r="G72" i="2"/>
  <c r="G13" i="1" s="1"/>
  <c r="G180" i="8" s="1"/>
  <c r="F72" i="2"/>
  <c r="F13" i="1" s="1"/>
  <c r="F180" i="8" s="1"/>
  <c r="E72" i="2"/>
  <c r="E13" i="1" s="1"/>
  <c r="E180" i="8" s="1"/>
  <c r="D72" i="2"/>
  <c r="D13" i="1" s="1"/>
  <c r="D180" i="8" s="1"/>
  <c r="C72" i="2"/>
  <c r="C13" i="1" s="1"/>
  <c r="C180" i="8" s="1"/>
  <c r="D63" i="2"/>
  <c r="D12" i="1" s="1"/>
  <c r="D173" i="8" s="1"/>
  <c r="E63" i="2"/>
  <c r="E12" i="1" s="1"/>
  <c r="E173" i="8" s="1"/>
  <c r="F63" i="2"/>
  <c r="F12" i="1" s="1"/>
  <c r="F173" i="8" s="1"/>
  <c r="G63" i="2"/>
  <c r="G12" i="1" s="1"/>
  <c r="G173" i="8" s="1"/>
  <c r="H63" i="2"/>
  <c r="H12" i="1" s="1"/>
  <c r="H173" i="8" s="1"/>
  <c r="I63" i="2"/>
  <c r="I12" i="1" s="1"/>
  <c r="I173" i="8" s="1"/>
  <c r="J63" i="2"/>
  <c r="J12" i="1" s="1"/>
  <c r="J173" i="8" s="1"/>
  <c r="K63" i="2"/>
  <c r="K12" i="1" s="1"/>
  <c r="K173" i="8" s="1"/>
  <c r="L63" i="2"/>
  <c r="L12" i="1" s="1"/>
  <c r="L173" i="8" s="1"/>
  <c r="M63" i="2"/>
  <c r="M12" i="1" s="1"/>
  <c r="N63" i="2"/>
  <c r="N12" i="1" s="1"/>
  <c r="N173" i="8" s="1"/>
  <c r="O63" i="2"/>
  <c r="O12" i="1" s="1"/>
  <c r="O173" i="8" s="1"/>
  <c r="C63" i="2"/>
  <c r="C12" i="1" s="1"/>
  <c r="C173" i="8" s="1"/>
  <c r="M180" i="8" l="1"/>
  <c r="Z13" i="1"/>
  <c r="M173" i="8"/>
  <c r="Z12" i="1"/>
  <c r="M194" i="8"/>
  <c r="Z15" i="1"/>
  <c r="C51" i="9"/>
  <c r="G54" i="9"/>
  <c r="H51" i="9"/>
  <c r="K51" i="9"/>
  <c r="J51" i="9"/>
  <c r="H54" i="9"/>
  <c r="I54" i="9"/>
  <c r="B51" i="9"/>
  <c r="K54" i="9"/>
  <c r="I51" i="9"/>
  <c r="B54" i="9"/>
  <c r="G51" i="9"/>
  <c r="F51" i="9"/>
  <c r="I52" i="9"/>
  <c r="D54" i="9"/>
  <c r="L54" i="9"/>
  <c r="D52" i="9"/>
  <c r="E52" i="9"/>
  <c r="F52" i="9"/>
  <c r="G52" i="9"/>
  <c r="H52" i="9"/>
  <c r="E51" i="9"/>
  <c r="B52" i="9"/>
  <c r="J52" i="9"/>
  <c r="E54" i="9"/>
  <c r="M54" i="9"/>
  <c r="L52" i="9"/>
  <c r="M52" i="9"/>
  <c r="N52" i="9"/>
  <c r="P13" i="1"/>
  <c r="P180" i="8" s="1"/>
  <c r="P181" i="8" s="1"/>
  <c r="P182" i="8" s="1"/>
  <c r="J54" i="9"/>
  <c r="C54" i="9"/>
  <c r="N51" i="9"/>
  <c r="P12" i="1"/>
  <c r="P173" i="8" s="1"/>
  <c r="M51" i="9"/>
  <c r="L51" i="9"/>
  <c r="D51" i="9"/>
  <c r="C52" i="9"/>
  <c r="K52" i="9"/>
  <c r="F54" i="9"/>
  <c r="N54" i="9"/>
  <c r="P15" i="1"/>
  <c r="P194" i="8" s="1"/>
  <c r="P195" i="8" s="1"/>
  <c r="P196" i="8" s="1"/>
  <c r="G143" i="1"/>
  <c r="G144" i="1" s="1"/>
  <c r="G35" i="8"/>
  <c r="G181" i="8" s="1"/>
  <c r="G182" i="8" s="1"/>
  <c r="O143" i="1"/>
  <c r="O144" i="1" s="1"/>
  <c r="O35" i="8"/>
  <c r="O181" i="8" s="1"/>
  <c r="O182" i="8" s="1"/>
  <c r="J157" i="1"/>
  <c r="J158" i="1" s="1"/>
  <c r="J37" i="8"/>
  <c r="J195" i="8" s="1"/>
  <c r="J196" i="8" s="1"/>
  <c r="H143" i="1"/>
  <c r="H144" i="1" s="1"/>
  <c r="H35" i="8"/>
  <c r="H181" i="8" s="1"/>
  <c r="H182" i="8" s="1"/>
  <c r="K157" i="1"/>
  <c r="K158" i="1" s="1"/>
  <c r="K37" i="8"/>
  <c r="E143" i="1"/>
  <c r="E144" i="1" s="1"/>
  <c r="E35" i="8"/>
  <c r="E181" i="8" s="1"/>
  <c r="E182" i="8" s="1"/>
  <c r="N143" i="1"/>
  <c r="N144" i="1" s="1"/>
  <c r="N35" i="8"/>
  <c r="N181" i="8" s="1"/>
  <c r="N182" i="8" s="1"/>
  <c r="I143" i="1"/>
  <c r="I144" i="1" s="1"/>
  <c r="I35" i="8"/>
  <c r="I181" i="8" s="1"/>
  <c r="I182" i="8" s="1"/>
  <c r="D157" i="1"/>
  <c r="D158" i="1" s="1"/>
  <c r="D37" i="8"/>
  <c r="D195" i="8" s="1"/>
  <c r="D196" i="8" s="1"/>
  <c r="L157" i="1"/>
  <c r="L158" i="1" s="1"/>
  <c r="L37" i="8"/>
  <c r="L195" i="8" s="1"/>
  <c r="L196" i="8" s="1"/>
  <c r="H157" i="1"/>
  <c r="H158" i="1" s="1"/>
  <c r="H37" i="8"/>
  <c r="H195" i="8" s="1"/>
  <c r="H196" i="8" s="1"/>
  <c r="J143" i="1"/>
  <c r="J144" i="1" s="1"/>
  <c r="J35" i="8"/>
  <c r="J181" i="8" s="1"/>
  <c r="J182" i="8" s="1"/>
  <c r="E157" i="1"/>
  <c r="E158" i="1" s="1"/>
  <c r="E37" i="8"/>
  <c r="E195" i="8" s="1"/>
  <c r="E196" i="8" s="1"/>
  <c r="M157" i="1"/>
  <c r="M158" i="1" s="1"/>
  <c r="M37" i="8"/>
  <c r="I157" i="1"/>
  <c r="I158" i="1" s="1"/>
  <c r="I37" i="8"/>
  <c r="I195" i="8" s="1"/>
  <c r="I196" i="8" s="1"/>
  <c r="K143" i="1"/>
  <c r="K144" i="1" s="1"/>
  <c r="K35" i="8"/>
  <c r="F157" i="1"/>
  <c r="F158" i="1" s="1"/>
  <c r="F37" i="8"/>
  <c r="F195" i="8" s="1"/>
  <c r="F196" i="8" s="1"/>
  <c r="N157" i="1"/>
  <c r="N158" i="1" s="1"/>
  <c r="N37" i="8"/>
  <c r="N195" i="8" s="1"/>
  <c r="N196" i="8" s="1"/>
  <c r="M143" i="1"/>
  <c r="M144" i="1" s="1"/>
  <c r="M35" i="8"/>
  <c r="M181" i="8" s="1"/>
  <c r="M182" i="8" s="1"/>
  <c r="F143" i="1"/>
  <c r="F144" i="1" s="1"/>
  <c r="F35" i="8"/>
  <c r="F181" i="8" s="1"/>
  <c r="F182" i="8" s="1"/>
  <c r="D143" i="1"/>
  <c r="D144" i="1" s="1"/>
  <c r="D35" i="8"/>
  <c r="D181" i="8" s="1"/>
  <c r="D182" i="8" s="1"/>
  <c r="L143" i="1"/>
  <c r="L144" i="1" s="1"/>
  <c r="L35" i="8"/>
  <c r="L181" i="8" s="1"/>
  <c r="L182" i="8" s="1"/>
  <c r="G157" i="1"/>
  <c r="G158" i="1" s="1"/>
  <c r="G37" i="8"/>
  <c r="G195" i="8" s="1"/>
  <c r="G196" i="8" s="1"/>
  <c r="O157" i="1"/>
  <c r="O37" i="8"/>
  <c r="O195" i="8" s="1"/>
  <c r="O196" i="8" s="1"/>
  <c r="C157" i="1"/>
  <c r="C158" i="1" s="1"/>
  <c r="C37" i="8"/>
  <c r="C195" i="8" s="1"/>
  <c r="C196" i="8" s="1"/>
  <c r="C143" i="1"/>
  <c r="C144" i="1" s="1"/>
  <c r="C35" i="8"/>
  <c r="C181" i="8" s="1"/>
  <c r="L136" i="1"/>
  <c r="L137" i="1" s="1"/>
  <c r="L34" i="8"/>
  <c r="D136" i="1"/>
  <c r="D137" i="1" s="1"/>
  <c r="D34" i="8"/>
  <c r="K136" i="1"/>
  <c r="K34" i="8"/>
  <c r="J136" i="1"/>
  <c r="J34" i="8"/>
  <c r="I136" i="1"/>
  <c r="I34" i="8"/>
  <c r="H136" i="1"/>
  <c r="H34" i="8"/>
  <c r="O136" i="1"/>
  <c r="O34" i="8"/>
  <c r="G136" i="1"/>
  <c r="G137" i="1" s="1"/>
  <c r="G34" i="8"/>
  <c r="F136" i="1"/>
  <c r="F34" i="8"/>
  <c r="N136" i="1"/>
  <c r="N137" i="1" s="1"/>
  <c r="N34" i="8"/>
  <c r="M136" i="1"/>
  <c r="M34" i="8"/>
  <c r="E136" i="1"/>
  <c r="E34" i="8"/>
  <c r="C136" i="1"/>
  <c r="C34" i="8"/>
  <c r="M195" i="8" l="1"/>
  <c r="M196" i="8" s="1"/>
  <c r="P174" i="8"/>
  <c r="Y54" i="9"/>
  <c r="Y51" i="9"/>
  <c r="Z52" i="9"/>
  <c r="AA52" i="9"/>
  <c r="AB52" i="9"/>
  <c r="X51" i="9"/>
  <c r="Z54" i="9"/>
  <c r="AA54" i="9"/>
  <c r="AB54" i="9"/>
  <c r="Y52" i="9"/>
  <c r="X54" i="9"/>
  <c r="O52" i="9"/>
  <c r="P143" i="1"/>
  <c r="P144" i="1" s="1"/>
  <c r="O133" i="10" s="1"/>
  <c r="O51" i="9"/>
  <c r="P136" i="1"/>
  <c r="O54" i="9"/>
  <c r="P157" i="1"/>
  <c r="X52" i="9"/>
  <c r="AA51" i="9"/>
  <c r="Z51" i="9"/>
  <c r="AB51" i="9"/>
  <c r="O158" i="1"/>
  <c r="U136" i="1"/>
  <c r="R157" i="1"/>
  <c r="R158" i="1" s="1"/>
  <c r="M137" i="1"/>
  <c r="K137" i="1"/>
  <c r="K181" i="8"/>
  <c r="Z35" i="8"/>
  <c r="Y35" i="8"/>
  <c r="AA35" i="8"/>
  <c r="F137" i="1"/>
  <c r="K195" i="8"/>
  <c r="AA37" i="8"/>
  <c r="Y37" i="8"/>
  <c r="Z37" i="8"/>
  <c r="C182" i="8"/>
  <c r="C137" i="1"/>
  <c r="I137" i="1"/>
  <c r="H137" i="1"/>
  <c r="Z34" i="8"/>
  <c r="Y34" i="8"/>
  <c r="AA34" i="8"/>
  <c r="O137" i="1"/>
  <c r="J137" i="1"/>
  <c r="E137" i="1"/>
  <c r="D194" i="1"/>
  <c r="E194" i="1"/>
  <c r="F194" i="1"/>
  <c r="G194" i="1"/>
  <c r="H194" i="1"/>
  <c r="I194" i="1"/>
  <c r="J194" i="1"/>
  <c r="L194" i="1"/>
  <c r="M194" i="1"/>
  <c r="N194" i="1"/>
  <c r="O194" i="1"/>
  <c r="C194" i="1"/>
  <c r="N180" i="1"/>
  <c r="O180" i="1"/>
  <c r="D17" i="1"/>
  <c r="E17" i="1"/>
  <c r="F17" i="1"/>
  <c r="G17" i="1"/>
  <c r="H17" i="1"/>
  <c r="I17" i="1"/>
  <c r="J17" i="1"/>
  <c r="K17" i="1"/>
  <c r="L17" i="1"/>
  <c r="M17" i="1"/>
  <c r="N17" i="1"/>
  <c r="O17" i="1"/>
  <c r="C17" i="1"/>
  <c r="Z17" i="1" l="1"/>
  <c r="AC8" i="1"/>
  <c r="AF8" i="1" s="1"/>
  <c r="M138" i="10"/>
  <c r="N138" i="10"/>
  <c r="M208" i="8"/>
  <c r="E208" i="8"/>
  <c r="D208" i="8"/>
  <c r="K208" i="8"/>
  <c r="J208" i="8"/>
  <c r="I208" i="8"/>
  <c r="L208" i="8"/>
  <c r="C208" i="8"/>
  <c r="H208" i="8"/>
  <c r="O208" i="8"/>
  <c r="G208" i="8"/>
  <c r="N208" i="8"/>
  <c r="F208" i="8"/>
  <c r="P175" i="8"/>
  <c r="F56" i="9"/>
  <c r="E56" i="9"/>
  <c r="D56" i="9"/>
  <c r="K56" i="9"/>
  <c r="C56" i="9"/>
  <c r="G56" i="9"/>
  <c r="M56" i="9"/>
  <c r="L56" i="9"/>
  <c r="J56" i="9"/>
  <c r="I56" i="9"/>
  <c r="B56" i="9"/>
  <c r="C95" i="9" s="1"/>
  <c r="N56" i="9"/>
  <c r="P17" i="1"/>
  <c r="P208" i="8" s="1"/>
  <c r="H56" i="9"/>
  <c r="O181" i="1"/>
  <c r="N88" i="10" s="1"/>
  <c r="N181" i="1"/>
  <c r="M88" i="10" s="1"/>
  <c r="R159" i="1"/>
  <c r="P145" i="1"/>
  <c r="U137" i="1"/>
  <c r="U157" i="1"/>
  <c r="U158" i="1" s="1"/>
  <c r="V136" i="1"/>
  <c r="Q157" i="1"/>
  <c r="Q158" i="1" s="1"/>
  <c r="R143" i="1"/>
  <c r="R144" i="1" s="1"/>
  <c r="T143" i="1"/>
  <c r="T144" i="1" s="1"/>
  <c r="Q136" i="1"/>
  <c r="S157" i="1"/>
  <c r="S158" i="1" s="1"/>
  <c r="Q143" i="1"/>
  <c r="Q144" i="1" s="1"/>
  <c r="T157" i="1"/>
  <c r="T158" i="1" s="1"/>
  <c r="S143" i="1"/>
  <c r="S144" i="1" s="1"/>
  <c r="R136" i="1"/>
  <c r="S136" i="1"/>
  <c r="V157" i="1"/>
  <c r="V158" i="1" s="1"/>
  <c r="U143" i="1"/>
  <c r="U144" i="1" s="1"/>
  <c r="T136" i="1"/>
  <c r="P158" i="1"/>
  <c r="O135" i="10" s="1"/>
  <c r="V143" i="1"/>
  <c r="V144" i="1" s="1"/>
  <c r="W246" i="1"/>
  <c r="H39" i="8"/>
  <c r="H172" i="1"/>
  <c r="H241" i="1" s="1"/>
  <c r="K182" i="8"/>
  <c r="G39" i="8"/>
  <c r="G172" i="1"/>
  <c r="G241" i="1" s="1"/>
  <c r="F39" i="8"/>
  <c r="F172" i="1"/>
  <c r="F241" i="1" s="1"/>
  <c r="K196" i="8"/>
  <c r="J39" i="8"/>
  <c r="J172" i="1"/>
  <c r="J241" i="1" s="1"/>
  <c r="I39" i="8"/>
  <c r="I172" i="1"/>
  <c r="I241" i="1" s="1"/>
  <c r="N39" i="8"/>
  <c r="N172" i="1"/>
  <c r="N241" i="1" s="1"/>
  <c r="M39" i="8"/>
  <c r="M172" i="1"/>
  <c r="M241" i="1" s="1"/>
  <c r="L39" i="8"/>
  <c r="L172" i="1"/>
  <c r="L241" i="1" s="1"/>
  <c r="D39" i="8"/>
  <c r="D172" i="1"/>
  <c r="D241" i="1" s="1"/>
  <c r="O39" i="8"/>
  <c r="O172" i="1"/>
  <c r="E172" i="1"/>
  <c r="E241" i="1" s="1"/>
  <c r="E39" i="8"/>
  <c r="K39" i="8"/>
  <c r="K172" i="1"/>
  <c r="K241" i="1" s="1"/>
  <c r="C39" i="8"/>
  <c r="C172" i="1"/>
  <c r="C241" i="1" s="1"/>
  <c r="D174" i="8"/>
  <c r="M174" i="8"/>
  <c r="K174" i="8"/>
  <c r="F174" i="8"/>
  <c r="O174" i="8"/>
  <c r="I174" i="8"/>
  <c r="N174" i="8"/>
  <c r="L174" i="8"/>
  <c r="H174" i="8"/>
  <c r="J174" i="8"/>
  <c r="G174" i="8"/>
  <c r="E174" i="8"/>
  <c r="C174" i="8"/>
  <c r="M180" i="1"/>
  <c r="K194" i="1"/>
  <c r="W171" i="1"/>
  <c r="D75" i="9" l="1"/>
  <c r="E95" i="9"/>
  <c r="J75" i="9"/>
  <c r="K95" i="9"/>
  <c r="L75" i="9"/>
  <c r="M95" i="9"/>
  <c r="F75" i="9"/>
  <c r="G95" i="9"/>
  <c r="M75" i="9"/>
  <c r="N95" i="9"/>
  <c r="I75" i="9"/>
  <c r="J95" i="9"/>
  <c r="E75" i="9"/>
  <c r="F95" i="9"/>
  <c r="H75" i="9"/>
  <c r="I95" i="9"/>
  <c r="G75" i="9"/>
  <c r="H95" i="9"/>
  <c r="N75" i="9"/>
  <c r="O95" i="9"/>
  <c r="C75" i="9"/>
  <c r="D95" i="9"/>
  <c r="K75" i="9"/>
  <c r="L95" i="9"/>
  <c r="L138" i="10"/>
  <c r="P209" i="8"/>
  <c r="P272" i="8"/>
  <c r="X56" i="9"/>
  <c r="X75" i="9" s="1"/>
  <c r="B75" i="9"/>
  <c r="O56" i="9"/>
  <c r="P172" i="1"/>
  <c r="Z56" i="9"/>
  <c r="Z75" i="9" s="1"/>
  <c r="AA56" i="9"/>
  <c r="AB56" i="9"/>
  <c r="O83" i="10"/>
  <c r="Y56" i="9"/>
  <c r="Y75" i="9" s="1"/>
  <c r="T159" i="1"/>
  <c r="R145" i="1"/>
  <c r="Q159" i="1"/>
  <c r="U145" i="1"/>
  <c r="T145" i="1"/>
  <c r="V159" i="1"/>
  <c r="Q145" i="1"/>
  <c r="U159" i="1"/>
  <c r="S145" i="1"/>
  <c r="V145" i="1"/>
  <c r="S159" i="1"/>
  <c r="F173" i="1"/>
  <c r="P159" i="1"/>
  <c r="O85" i="10" s="1"/>
  <c r="T137" i="1"/>
  <c r="R137" i="1"/>
  <c r="P137" i="1"/>
  <c r="O132" i="10" s="1"/>
  <c r="V137" i="1"/>
  <c r="S137" i="1"/>
  <c r="Q137" i="1"/>
  <c r="U138" i="1"/>
  <c r="O241" i="1"/>
  <c r="J173" i="1"/>
  <c r="W241" i="1"/>
  <c r="D173" i="1"/>
  <c r="L173" i="1"/>
  <c r="M173" i="1"/>
  <c r="H173" i="1"/>
  <c r="G173" i="1"/>
  <c r="K173" i="1"/>
  <c r="E173" i="1"/>
  <c r="I173" i="1"/>
  <c r="O173" i="1"/>
  <c r="C173" i="1"/>
  <c r="N173" i="1"/>
  <c r="AA39" i="8"/>
  <c r="Y39" i="8"/>
  <c r="Z39" i="8"/>
  <c r="G175" i="8"/>
  <c r="N175" i="8"/>
  <c r="K175" i="8"/>
  <c r="I175" i="8"/>
  <c r="H175" i="8"/>
  <c r="O175" i="8"/>
  <c r="M175" i="8"/>
  <c r="D175" i="8"/>
  <c r="J175" i="8"/>
  <c r="E175" i="8"/>
  <c r="F175" i="8"/>
  <c r="L175" i="8"/>
  <c r="C175" i="8"/>
  <c r="M181" i="1"/>
  <c r="L88" i="10" s="1"/>
  <c r="O70" i="1"/>
  <c r="N70" i="1"/>
  <c r="M123" i="10" l="1"/>
  <c r="N123" i="10"/>
  <c r="AA75" i="9"/>
  <c r="AB75" i="9"/>
  <c r="O75" i="9"/>
  <c r="P95" i="9"/>
  <c r="N137" i="10"/>
  <c r="C137" i="10"/>
  <c r="H137" i="10"/>
  <c r="D137" i="10"/>
  <c r="F137" i="10"/>
  <c r="E137" i="10"/>
  <c r="G137" i="10"/>
  <c r="J137" i="10"/>
  <c r="M137" i="10"/>
  <c r="L137" i="10"/>
  <c r="I137" i="10"/>
  <c r="B137" i="10"/>
  <c r="K137" i="10"/>
  <c r="P273" i="8"/>
  <c r="P210" i="8"/>
  <c r="P274" i="8" s="1"/>
  <c r="I242" i="1"/>
  <c r="N174" i="1"/>
  <c r="E174" i="1"/>
  <c r="G174" i="1"/>
  <c r="F87" i="10" s="1"/>
  <c r="J174" i="1"/>
  <c r="H174" i="1"/>
  <c r="G87" i="10" s="1"/>
  <c r="M174" i="1"/>
  <c r="F242" i="1"/>
  <c r="C242" i="1"/>
  <c r="L242" i="1"/>
  <c r="K174" i="1"/>
  <c r="J87" i="10" s="1"/>
  <c r="F174" i="1"/>
  <c r="E87" i="10" s="1"/>
  <c r="O174" i="1"/>
  <c r="D242" i="1"/>
  <c r="J242" i="1"/>
  <c r="P138" i="1"/>
  <c r="O82" i="10" s="1"/>
  <c r="Q138" i="1"/>
  <c r="V138" i="1"/>
  <c r="R138" i="1"/>
  <c r="S138" i="1"/>
  <c r="T138" i="1"/>
  <c r="D174" i="1"/>
  <c r="C87" i="10" s="1"/>
  <c r="U172" i="1"/>
  <c r="I174" i="1"/>
  <c r="H87" i="10" s="1"/>
  <c r="V172" i="1"/>
  <c r="Q172" i="1"/>
  <c r="R172" i="1"/>
  <c r="S172" i="1"/>
  <c r="T172" i="1"/>
  <c r="M242" i="1"/>
  <c r="H242" i="1"/>
  <c r="G242" i="1"/>
  <c r="L174" i="1"/>
  <c r="K87" i="10" s="1"/>
  <c r="C174" i="1"/>
  <c r="O242" i="1"/>
  <c r="E242" i="1"/>
  <c r="K242" i="1"/>
  <c r="N242" i="1"/>
  <c r="D272" i="8"/>
  <c r="D209" i="8"/>
  <c r="G209" i="8"/>
  <c r="G272" i="8"/>
  <c r="J272" i="8"/>
  <c r="J209" i="8"/>
  <c r="I272" i="8"/>
  <c r="I209" i="8"/>
  <c r="M272" i="8"/>
  <c r="M209" i="8"/>
  <c r="L272" i="8"/>
  <c r="L209" i="8"/>
  <c r="K272" i="8"/>
  <c r="K209" i="8"/>
  <c r="F272" i="8"/>
  <c r="F209" i="8"/>
  <c r="E272" i="8"/>
  <c r="E209" i="8"/>
  <c r="H272" i="8"/>
  <c r="H209" i="8"/>
  <c r="O272" i="8"/>
  <c r="O209" i="8"/>
  <c r="N272" i="8"/>
  <c r="N209" i="8"/>
  <c r="C272" i="8"/>
  <c r="C209" i="8"/>
  <c r="N73" i="1"/>
  <c r="O73" i="1"/>
  <c r="D209" i="1"/>
  <c r="W156" i="1"/>
  <c r="O156" i="1"/>
  <c r="N135" i="10" s="1"/>
  <c r="N156" i="1"/>
  <c r="M135" i="10" s="1"/>
  <c r="M156" i="1"/>
  <c r="L135" i="10" s="1"/>
  <c r="L156" i="1"/>
  <c r="K135" i="10" s="1"/>
  <c r="K156" i="1"/>
  <c r="J135" i="10" s="1"/>
  <c r="J156" i="1"/>
  <c r="I135" i="10" s="1"/>
  <c r="I156" i="1"/>
  <c r="H135" i="10" s="1"/>
  <c r="H156" i="1"/>
  <c r="G135" i="10" s="1"/>
  <c r="G156" i="1"/>
  <c r="F135" i="10" s="1"/>
  <c r="F156" i="1"/>
  <c r="E135" i="10" s="1"/>
  <c r="E156" i="1"/>
  <c r="D135" i="10" s="1"/>
  <c r="D156" i="1"/>
  <c r="C135" i="10" s="1"/>
  <c r="C156" i="1"/>
  <c r="B135" i="10" s="1"/>
  <c r="W142" i="1"/>
  <c r="O142" i="1"/>
  <c r="N133" i="10" s="1"/>
  <c r="N142" i="1"/>
  <c r="M133" i="10" s="1"/>
  <c r="M142" i="1"/>
  <c r="L133" i="10" s="1"/>
  <c r="L142" i="1"/>
  <c r="K133" i="10" s="1"/>
  <c r="K142" i="1"/>
  <c r="J133" i="10" s="1"/>
  <c r="J142" i="1"/>
  <c r="I133" i="10" s="1"/>
  <c r="I142" i="1"/>
  <c r="H133" i="10" s="1"/>
  <c r="H142" i="1"/>
  <c r="G133" i="10" s="1"/>
  <c r="G142" i="1"/>
  <c r="F133" i="10" s="1"/>
  <c r="F142" i="1"/>
  <c r="E133" i="10" s="1"/>
  <c r="E142" i="1"/>
  <c r="D133" i="10" s="1"/>
  <c r="D142" i="1"/>
  <c r="C133" i="10" s="1"/>
  <c r="C142" i="1"/>
  <c r="B133" i="10" s="1"/>
  <c r="W149" i="1"/>
  <c r="O149" i="1"/>
  <c r="N134" i="10" s="1"/>
  <c r="N149" i="1"/>
  <c r="M134" i="10" s="1"/>
  <c r="M149" i="1"/>
  <c r="L134" i="10" s="1"/>
  <c r="L149" i="1"/>
  <c r="K134" i="10" s="1"/>
  <c r="K149" i="1"/>
  <c r="J134" i="10" s="1"/>
  <c r="J149" i="1"/>
  <c r="I134" i="10" s="1"/>
  <c r="I149" i="1"/>
  <c r="H134" i="10" s="1"/>
  <c r="H149" i="1"/>
  <c r="G134" i="10" s="1"/>
  <c r="G149" i="1"/>
  <c r="F134" i="10" s="1"/>
  <c r="F149" i="1"/>
  <c r="E134" i="10" s="1"/>
  <c r="E149" i="1"/>
  <c r="D134" i="10" s="1"/>
  <c r="D149" i="1"/>
  <c r="C134" i="10" s="1"/>
  <c r="C149" i="1"/>
  <c r="B134" i="10" s="1"/>
  <c r="W135" i="1"/>
  <c r="O135" i="1"/>
  <c r="N132" i="10" s="1"/>
  <c r="N135" i="1"/>
  <c r="M132" i="10" s="1"/>
  <c r="M135" i="1"/>
  <c r="L132" i="10" s="1"/>
  <c r="L135" i="1"/>
  <c r="K132" i="10" s="1"/>
  <c r="K135" i="1"/>
  <c r="J132" i="10" s="1"/>
  <c r="J135" i="1"/>
  <c r="I132" i="10" s="1"/>
  <c r="I135" i="1"/>
  <c r="H132" i="10" s="1"/>
  <c r="H135" i="1"/>
  <c r="G132" i="10" s="1"/>
  <c r="G135" i="1"/>
  <c r="F132" i="10" s="1"/>
  <c r="F135" i="1"/>
  <c r="E132" i="10" s="1"/>
  <c r="E135" i="1"/>
  <c r="D132" i="10" s="1"/>
  <c r="D135" i="1"/>
  <c r="C132" i="10" s="1"/>
  <c r="C135" i="1"/>
  <c r="B132" i="10" s="1"/>
  <c r="W178" i="1"/>
  <c r="V135" i="11" s="1"/>
  <c r="O128" i="1"/>
  <c r="N128" i="1"/>
  <c r="M128" i="1"/>
  <c r="L128" i="1"/>
  <c r="K128" i="1"/>
  <c r="J128" i="1"/>
  <c r="I128" i="1"/>
  <c r="H128" i="1"/>
  <c r="G128" i="1"/>
  <c r="F128" i="1"/>
  <c r="E128" i="1"/>
  <c r="D128" i="1"/>
  <c r="C128" i="1"/>
  <c r="W77" i="1"/>
  <c r="O77" i="1"/>
  <c r="O230" i="1" s="1"/>
  <c r="N77" i="1"/>
  <c r="N230" i="1" s="1"/>
  <c r="M77" i="1"/>
  <c r="L77" i="1"/>
  <c r="K77" i="1"/>
  <c r="J77" i="1"/>
  <c r="I77" i="1"/>
  <c r="H77" i="1"/>
  <c r="G77" i="1"/>
  <c r="F77" i="1"/>
  <c r="E77" i="1"/>
  <c r="D77" i="1"/>
  <c r="C77" i="1"/>
  <c r="D70" i="1"/>
  <c r="D230" i="1" s="1"/>
  <c r="E70" i="1"/>
  <c r="E230" i="1" s="1"/>
  <c r="F70" i="1"/>
  <c r="F230" i="1" s="1"/>
  <c r="G70" i="1"/>
  <c r="G230" i="1" s="1"/>
  <c r="H70" i="1"/>
  <c r="I70" i="1"/>
  <c r="J70" i="1"/>
  <c r="K70" i="1"/>
  <c r="K230" i="1" s="1"/>
  <c r="L70" i="1"/>
  <c r="L230" i="1" s="1"/>
  <c r="M70" i="1"/>
  <c r="M230" i="1" s="1"/>
  <c r="W70" i="1"/>
  <c r="W230" i="1" s="1"/>
  <c r="C70" i="1"/>
  <c r="C230" i="1" s="1"/>
  <c r="M233" i="1" l="1"/>
  <c r="L233" i="1"/>
  <c r="I230" i="1"/>
  <c r="H230" i="1"/>
  <c r="J230" i="1"/>
  <c r="B147" i="10"/>
  <c r="C233" i="1"/>
  <c r="G233" i="1"/>
  <c r="N124" i="10"/>
  <c r="N73" i="10"/>
  <c r="F124" i="10"/>
  <c r="M73" i="10"/>
  <c r="H124" i="10"/>
  <c r="J124" i="10"/>
  <c r="C124" i="10"/>
  <c r="K124" i="10"/>
  <c r="I124" i="10"/>
  <c r="D124" i="10"/>
  <c r="L124" i="10"/>
  <c r="G124" i="10"/>
  <c r="B124" i="10"/>
  <c r="E124" i="10"/>
  <c r="M124" i="10"/>
  <c r="D123" i="10"/>
  <c r="E88" i="1"/>
  <c r="E233" i="1" s="1"/>
  <c r="K123" i="10"/>
  <c r="L88" i="1"/>
  <c r="I123" i="10"/>
  <c r="J88" i="1"/>
  <c r="J123" i="10"/>
  <c r="K88" i="1"/>
  <c r="K233" i="1" s="1"/>
  <c r="H123" i="10"/>
  <c r="I88" i="1"/>
  <c r="O88" i="1"/>
  <c r="O233" i="1" s="1"/>
  <c r="L123" i="10"/>
  <c r="M88" i="1"/>
  <c r="C123" i="10"/>
  <c r="D88" i="1"/>
  <c r="D233" i="1" s="1"/>
  <c r="G123" i="10"/>
  <c r="H88" i="1"/>
  <c r="N88" i="1"/>
  <c r="N233" i="1" s="1"/>
  <c r="B123" i="10"/>
  <c r="C88" i="1"/>
  <c r="F123" i="10"/>
  <c r="G88" i="1"/>
  <c r="V123" i="10"/>
  <c r="W88" i="1"/>
  <c r="W233" i="1" s="1"/>
  <c r="E123" i="10"/>
  <c r="F88" i="1"/>
  <c r="F233" i="1" s="1"/>
  <c r="G131" i="10"/>
  <c r="H167" i="1"/>
  <c r="H131" i="10"/>
  <c r="I167" i="1"/>
  <c r="N131" i="10"/>
  <c r="O167" i="1"/>
  <c r="B131" i="10"/>
  <c r="C167" i="1"/>
  <c r="J131" i="10"/>
  <c r="K167" i="1"/>
  <c r="C131" i="10"/>
  <c r="D167" i="1"/>
  <c r="K131" i="10"/>
  <c r="L167" i="1"/>
  <c r="F131" i="10"/>
  <c r="G167" i="1"/>
  <c r="L131" i="10"/>
  <c r="M167" i="1"/>
  <c r="I131" i="10"/>
  <c r="J167" i="1"/>
  <c r="D131" i="10"/>
  <c r="E167" i="1"/>
  <c r="E131" i="10"/>
  <c r="F167" i="1"/>
  <c r="M131" i="10"/>
  <c r="N167" i="1"/>
  <c r="W167" i="1"/>
  <c r="D161" i="11"/>
  <c r="V136" i="11"/>
  <c r="P97" i="9"/>
  <c r="P96" i="9"/>
  <c r="C143" i="10"/>
  <c r="D87" i="10"/>
  <c r="M87" i="10"/>
  <c r="L87" i="10"/>
  <c r="B87" i="10"/>
  <c r="N87" i="10"/>
  <c r="I87" i="10"/>
  <c r="J138" i="1"/>
  <c r="I82" i="10" s="1"/>
  <c r="I152" i="1"/>
  <c r="H84" i="10" s="1"/>
  <c r="E159" i="1"/>
  <c r="D85" i="10" s="1"/>
  <c r="F159" i="1"/>
  <c r="E85" i="10" s="1"/>
  <c r="N159" i="1"/>
  <c r="M85" i="10" s="1"/>
  <c r="E145" i="1"/>
  <c r="D83" i="10" s="1"/>
  <c r="O159" i="1"/>
  <c r="N85" i="10" s="1"/>
  <c r="E138" i="1"/>
  <c r="D82" i="10" s="1"/>
  <c r="D152" i="1"/>
  <c r="C84" i="10" s="1"/>
  <c r="F145" i="1"/>
  <c r="E83" i="10" s="1"/>
  <c r="N145" i="1"/>
  <c r="M83" i="10" s="1"/>
  <c r="J152" i="1"/>
  <c r="I84" i="10" s="1"/>
  <c r="F138" i="1"/>
  <c r="E82" i="10" s="1"/>
  <c r="N138" i="1"/>
  <c r="M82" i="10" s="1"/>
  <c r="E152" i="1"/>
  <c r="D84" i="10" s="1"/>
  <c r="O145" i="1"/>
  <c r="N83" i="10" s="1"/>
  <c r="I159" i="1"/>
  <c r="H85" i="10" s="1"/>
  <c r="D251" i="1"/>
  <c r="C152" i="10" s="1"/>
  <c r="I138" i="1"/>
  <c r="H82" i="10" s="1"/>
  <c r="O138" i="1"/>
  <c r="N82" i="10" s="1"/>
  <c r="F152" i="1"/>
  <c r="E84" i="10" s="1"/>
  <c r="N152" i="1"/>
  <c r="M84" i="10" s="1"/>
  <c r="J159" i="1"/>
  <c r="I85" i="10" s="1"/>
  <c r="D145" i="1"/>
  <c r="C83" i="10" s="1"/>
  <c r="O152" i="1"/>
  <c r="N84" i="10" s="1"/>
  <c r="I145" i="1"/>
  <c r="H83" i="10" s="1"/>
  <c r="L152" i="1"/>
  <c r="K84" i="10" s="1"/>
  <c r="L145" i="1"/>
  <c r="K83" i="10" s="1"/>
  <c r="Q173" i="1"/>
  <c r="Q241" i="1"/>
  <c r="V173" i="1"/>
  <c r="V241" i="1"/>
  <c r="T173" i="1"/>
  <c r="T241" i="1"/>
  <c r="U173" i="1"/>
  <c r="U241" i="1"/>
  <c r="S173" i="1"/>
  <c r="S241" i="1"/>
  <c r="R173" i="1"/>
  <c r="R241" i="1"/>
  <c r="P173" i="1"/>
  <c r="P241" i="1"/>
  <c r="G138" i="1"/>
  <c r="F82" i="10" s="1"/>
  <c r="H145" i="1"/>
  <c r="G83" i="10" s="1"/>
  <c r="G152" i="1"/>
  <c r="F84" i="10" s="1"/>
  <c r="C245" i="1"/>
  <c r="H138" i="1"/>
  <c r="G82" i="10" s="1"/>
  <c r="M159" i="1"/>
  <c r="L85" i="10" s="1"/>
  <c r="M145" i="1"/>
  <c r="L83" i="10" s="1"/>
  <c r="G159" i="1"/>
  <c r="F85" i="10" s="1"/>
  <c r="M138" i="1"/>
  <c r="L82" i="10" s="1"/>
  <c r="H159" i="1"/>
  <c r="G85" i="10" s="1"/>
  <c r="W245" i="1"/>
  <c r="M152" i="1"/>
  <c r="L84" i="10" s="1"/>
  <c r="G145" i="1"/>
  <c r="F83" i="10" s="1"/>
  <c r="J147" i="10"/>
  <c r="D80" i="1"/>
  <c r="C74" i="10" s="1"/>
  <c r="L80" i="1"/>
  <c r="K74" i="10" s="1"/>
  <c r="E80" i="1"/>
  <c r="D74" i="10" s="1"/>
  <c r="M80" i="1"/>
  <c r="L74" i="10" s="1"/>
  <c r="F80" i="1"/>
  <c r="E74" i="10" s="1"/>
  <c r="N80" i="1"/>
  <c r="M74" i="10" s="1"/>
  <c r="G80" i="1"/>
  <c r="F74" i="10" s="1"/>
  <c r="O80" i="1"/>
  <c r="N74" i="10" s="1"/>
  <c r="H273" i="8"/>
  <c r="H210" i="8"/>
  <c r="L210" i="8"/>
  <c r="L273" i="8"/>
  <c r="K273" i="8"/>
  <c r="K210" i="8"/>
  <c r="E273" i="8"/>
  <c r="E210" i="8"/>
  <c r="M273" i="8"/>
  <c r="M210" i="8"/>
  <c r="G273" i="8"/>
  <c r="G210" i="8"/>
  <c r="N273" i="8"/>
  <c r="N210" i="8"/>
  <c r="D273" i="8"/>
  <c r="D210" i="8"/>
  <c r="J273" i="8"/>
  <c r="J210" i="8"/>
  <c r="F273" i="8"/>
  <c r="F210" i="8"/>
  <c r="I273" i="8"/>
  <c r="I210" i="8"/>
  <c r="O273" i="8"/>
  <c r="O210" i="8"/>
  <c r="C273" i="8"/>
  <c r="C210" i="8"/>
  <c r="K245" i="1"/>
  <c r="G131" i="1"/>
  <c r="F81" i="10" s="1"/>
  <c r="G245" i="1"/>
  <c r="O131" i="1"/>
  <c r="N81" i="10" s="1"/>
  <c r="O245" i="1"/>
  <c r="I131" i="1"/>
  <c r="H81" i="10" s="1"/>
  <c r="I245" i="1"/>
  <c r="D210" i="1"/>
  <c r="D252" i="1" s="1"/>
  <c r="J131" i="1"/>
  <c r="I81" i="10" s="1"/>
  <c r="J245" i="1"/>
  <c r="H131" i="1"/>
  <c r="G81" i="10" s="1"/>
  <c r="H245" i="1"/>
  <c r="D245" i="1"/>
  <c r="L131" i="1"/>
  <c r="K81" i="10" s="1"/>
  <c r="L245" i="1"/>
  <c r="E131" i="1"/>
  <c r="D81" i="10" s="1"/>
  <c r="E245" i="1"/>
  <c r="M131" i="1"/>
  <c r="L81" i="10" s="1"/>
  <c r="M245" i="1"/>
  <c r="M147" i="10"/>
  <c r="F131" i="1"/>
  <c r="E81" i="10" s="1"/>
  <c r="F245" i="1"/>
  <c r="N245" i="1"/>
  <c r="J73" i="1"/>
  <c r="I147" i="10"/>
  <c r="N147" i="10"/>
  <c r="I73" i="1"/>
  <c r="H147" i="10"/>
  <c r="H73" i="1"/>
  <c r="G147" i="10"/>
  <c r="E147" i="10"/>
  <c r="G73" i="1"/>
  <c r="F147" i="10"/>
  <c r="D147" i="10"/>
  <c r="L147" i="10"/>
  <c r="K147" i="10"/>
  <c r="C147" i="10"/>
  <c r="K80" i="1"/>
  <c r="J74" i="10" s="1"/>
  <c r="C138" i="1"/>
  <c r="B82" i="10" s="1"/>
  <c r="K138" i="1"/>
  <c r="J82" i="10" s="1"/>
  <c r="C152" i="1"/>
  <c r="B84" i="10" s="1"/>
  <c r="K73" i="1"/>
  <c r="K152" i="1"/>
  <c r="J84" i="10" s="1"/>
  <c r="C159" i="1"/>
  <c r="B85" i="10" s="1"/>
  <c r="K159" i="1"/>
  <c r="J85" i="10" s="1"/>
  <c r="C73" i="1"/>
  <c r="K131" i="1"/>
  <c r="J81" i="10" s="1"/>
  <c r="W73" i="1"/>
  <c r="C145" i="1"/>
  <c r="B83" i="10" s="1"/>
  <c r="K145" i="1"/>
  <c r="J83" i="10" s="1"/>
  <c r="L138" i="1"/>
  <c r="K82" i="10" s="1"/>
  <c r="D138" i="1"/>
  <c r="C82" i="10" s="1"/>
  <c r="C131" i="1"/>
  <c r="B81" i="10" s="1"/>
  <c r="H152" i="1"/>
  <c r="G84" i="10" s="1"/>
  <c r="J145" i="1"/>
  <c r="I83" i="10" s="1"/>
  <c r="D159" i="1"/>
  <c r="C85" i="10" s="1"/>
  <c r="L159" i="1"/>
  <c r="K85" i="10" s="1"/>
  <c r="N131" i="1"/>
  <c r="M81" i="10" s="1"/>
  <c r="D131" i="1"/>
  <c r="C81" i="10" s="1"/>
  <c r="H80" i="1"/>
  <c r="G74" i="10" s="1"/>
  <c r="M73" i="1"/>
  <c r="I80" i="1"/>
  <c r="H74" i="10" s="1"/>
  <c r="F73" i="1"/>
  <c r="E73" i="1"/>
  <c r="L73" i="1"/>
  <c r="D73" i="1"/>
  <c r="J80" i="1"/>
  <c r="I74" i="10" s="1"/>
  <c r="C80" i="1"/>
  <c r="B74" i="10" s="1"/>
  <c r="E206" i="1"/>
  <c r="D92" i="10" s="1"/>
  <c r="O206" i="1"/>
  <c r="N92" i="10" s="1"/>
  <c r="J223" i="1"/>
  <c r="I95" i="10" s="1"/>
  <c r="G206" i="1"/>
  <c r="F92" i="10" s="1"/>
  <c r="L223" i="1"/>
  <c r="K95" i="10" s="1"/>
  <c r="H206" i="1"/>
  <c r="G92" i="10" s="1"/>
  <c r="C223" i="1"/>
  <c r="B95" i="10" s="1"/>
  <c r="M223" i="1"/>
  <c r="L95" i="10" s="1"/>
  <c r="I206" i="1"/>
  <c r="H92" i="10" s="1"/>
  <c r="D223" i="1"/>
  <c r="C95" i="10" s="1"/>
  <c r="N223" i="1"/>
  <c r="L206" i="1"/>
  <c r="K92" i="10" s="1"/>
  <c r="G223" i="1"/>
  <c r="F95" i="10" s="1"/>
  <c r="O223" i="1"/>
  <c r="N95" i="10" s="1"/>
  <c r="C206" i="1"/>
  <c r="B92" i="10" s="1"/>
  <c r="M206" i="1"/>
  <c r="L92" i="10" s="1"/>
  <c r="H223" i="1"/>
  <c r="G95" i="10" s="1"/>
  <c r="J206" i="1"/>
  <c r="I92" i="10" s="1"/>
  <c r="E223" i="1"/>
  <c r="D95" i="10" s="1"/>
  <c r="D206" i="1"/>
  <c r="C92" i="10" s="1"/>
  <c r="N206" i="1"/>
  <c r="M92" i="10" s="1"/>
  <c r="I223" i="1"/>
  <c r="H95" i="10" s="1"/>
  <c r="C216" i="1"/>
  <c r="B94" i="10" s="1"/>
  <c r="L201" i="1"/>
  <c r="K91" i="10" s="1"/>
  <c r="D216" i="1"/>
  <c r="C94" i="10" s="1"/>
  <c r="J201" i="1"/>
  <c r="I91" i="10" s="1"/>
  <c r="M216" i="1"/>
  <c r="L94" i="10" s="1"/>
  <c r="C201" i="1"/>
  <c r="B91" i="10" s="1"/>
  <c r="M201" i="1"/>
  <c r="L91" i="10" s="1"/>
  <c r="E216" i="1"/>
  <c r="D94" i="10" s="1"/>
  <c r="D201" i="1"/>
  <c r="C91" i="10" s="1"/>
  <c r="N201" i="1"/>
  <c r="M91" i="10" s="1"/>
  <c r="G216" i="1"/>
  <c r="F94" i="10" s="1"/>
  <c r="E201" i="1"/>
  <c r="D91" i="10" s="1"/>
  <c r="O201" i="1"/>
  <c r="N91" i="10" s="1"/>
  <c r="H216" i="1"/>
  <c r="G94" i="10" s="1"/>
  <c r="G201" i="1"/>
  <c r="F91" i="10" s="1"/>
  <c r="I216" i="1"/>
  <c r="H94" i="10" s="1"/>
  <c r="H201" i="1"/>
  <c r="G91" i="10" s="1"/>
  <c r="J216" i="1"/>
  <c r="I94" i="10" s="1"/>
  <c r="I201" i="1"/>
  <c r="H91" i="10" s="1"/>
  <c r="L216" i="1"/>
  <c r="K94" i="10" s="1"/>
  <c r="W101" i="1"/>
  <c r="V127" i="10" s="1"/>
  <c r="W94" i="1"/>
  <c r="V126" i="10" s="1"/>
  <c r="W204" i="1"/>
  <c r="V142" i="10" s="1"/>
  <c r="W187" i="1"/>
  <c r="W209" i="1"/>
  <c r="V143" i="10" s="1"/>
  <c r="W214" i="1"/>
  <c r="V144" i="10" s="1"/>
  <c r="W199" i="1"/>
  <c r="W180" i="1"/>
  <c r="V138" i="10" s="1"/>
  <c r="W221" i="1"/>
  <c r="V145" i="10" s="1"/>
  <c r="W158" i="1"/>
  <c r="V135" i="10" s="1"/>
  <c r="W151" i="1"/>
  <c r="V134" i="10" s="1"/>
  <c r="W137" i="1"/>
  <c r="W130" i="1"/>
  <c r="V131" i="10" s="1"/>
  <c r="W79" i="1"/>
  <c r="V124" i="10" s="1"/>
  <c r="W144" i="1"/>
  <c r="V133" i="10" s="1"/>
  <c r="W173" i="1"/>
  <c r="V137" i="10" s="1"/>
  <c r="W194" i="1"/>
  <c r="E209" i="1"/>
  <c r="K223" i="1"/>
  <c r="J95" i="10" s="1"/>
  <c r="K206" i="1"/>
  <c r="J92" i="10" s="1"/>
  <c r="B158" i="10" l="1"/>
  <c r="D158" i="10"/>
  <c r="C158" i="10"/>
  <c r="J233" i="1"/>
  <c r="H233" i="1"/>
  <c r="I233" i="1"/>
  <c r="H97" i="10" s="1"/>
  <c r="L73" i="10"/>
  <c r="G73" i="10"/>
  <c r="H73" i="10"/>
  <c r="C73" i="10"/>
  <c r="J73" i="10"/>
  <c r="K73" i="10"/>
  <c r="D73" i="10"/>
  <c r="V73" i="10"/>
  <c r="F73" i="10"/>
  <c r="I73" i="10"/>
  <c r="E73" i="10"/>
  <c r="B73" i="10"/>
  <c r="E164" i="10"/>
  <c r="V153" i="10"/>
  <c r="U96" i="9"/>
  <c r="Q96" i="9"/>
  <c r="R96" i="9"/>
  <c r="T96" i="9"/>
  <c r="S96" i="9"/>
  <c r="V96" i="9"/>
  <c r="R97" i="9"/>
  <c r="U97" i="9"/>
  <c r="Q97" i="9"/>
  <c r="S97" i="9"/>
  <c r="T97" i="9"/>
  <c r="V97" i="9"/>
  <c r="C118" i="10"/>
  <c r="D143" i="10"/>
  <c r="V141" i="10"/>
  <c r="V132" i="10"/>
  <c r="O137" i="10"/>
  <c r="W159" i="1"/>
  <c r="V85" i="10" s="1"/>
  <c r="M95" i="10"/>
  <c r="D118" i="10" s="1"/>
  <c r="W152" i="1"/>
  <c r="V84" i="10" s="1"/>
  <c r="W181" i="1"/>
  <c r="V88" i="10" s="1"/>
  <c r="W145" i="1"/>
  <c r="V83" i="10" s="1"/>
  <c r="R174" i="1"/>
  <c r="R242" i="1"/>
  <c r="P174" i="1"/>
  <c r="O87" i="10" s="1"/>
  <c r="P242" i="1"/>
  <c r="T174" i="1"/>
  <c r="T242" i="1"/>
  <c r="S174" i="1"/>
  <c r="S242" i="1"/>
  <c r="V174" i="1"/>
  <c r="V242" i="1"/>
  <c r="U174" i="1"/>
  <c r="U242" i="1"/>
  <c r="Q174" i="1"/>
  <c r="Q242" i="1"/>
  <c r="N97" i="10"/>
  <c r="M97" i="10"/>
  <c r="J97" i="10"/>
  <c r="F97" i="10"/>
  <c r="F274" i="8"/>
  <c r="G274" i="8"/>
  <c r="J274" i="8"/>
  <c r="M274" i="8"/>
  <c r="K274" i="8"/>
  <c r="L274" i="8"/>
  <c r="N274" i="8"/>
  <c r="O274" i="8"/>
  <c r="D274" i="8"/>
  <c r="E274" i="8"/>
  <c r="H274" i="8"/>
  <c r="I274" i="8"/>
  <c r="C274" i="8"/>
  <c r="E210" i="1"/>
  <c r="E252" i="1" s="1"/>
  <c r="E251" i="1"/>
  <c r="D152" i="10" s="1"/>
  <c r="W251" i="1"/>
  <c r="W242" i="1"/>
  <c r="V147" i="10"/>
  <c r="E158" i="10" s="1"/>
  <c r="W215" i="1"/>
  <c r="W216" i="1" s="1"/>
  <c r="V94" i="10" s="1"/>
  <c r="W247" i="1"/>
  <c r="W210" i="1"/>
  <c r="W200" i="1"/>
  <c r="W201" i="1" s="1"/>
  <c r="V91" i="10" s="1"/>
  <c r="W205" i="1"/>
  <c r="W206" i="1" s="1"/>
  <c r="V92" i="10" s="1"/>
  <c r="W222" i="1"/>
  <c r="W223" i="1" s="1"/>
  <c r="D97" i="10"/>
  <c r="B97" i="10"/>
  <c r="E97" i="10"/>
  <c r="L97" i="10"/>
  <c r="C97" i="10"/>
  <c r="K97" i="10"/>
  <c r="I97" i="10"/>
  <c r="W95" i="1"/>
  <c r="V76" i="10" s="1"/>
  <c r="W102" i="1"/>
  <c r="V77" i="10" s="1"/>
  <c r="W80" i="1"/>
  <c r="V74" i="10" s="1"/>
  <c r="W174" i="1"/>
  <c r="V87" i="10" s="1"/>
  <c r="W138" i="1"/>
  <c r="V82" i="10" s="1"/>
  <c r="W131" i="1"/>
  <c r="V81" i="10" s="1"/>
  <c r="F206" i="1"/>
  <c r="E92" i="10" s="1"/>
  <c r="F223" i="1"/>
  <c r="F201" i="1"/>
  <c r="E91" i="10" s="1"/>
  <c r="F216" i="1"/>
  <c r="E94" i="10" s="1"/>
  <c r="K216" i="1"/>
  <c r="J94" i="10" s="1"/>
  <c r="K201" i="1"/>
  <c r="J91" i="10" s="1"/>
  <c r="F226" i="1"/>
  <c r="K226" i="1"/>
  <c r="J146" i="10" s="1"/>
  <c r="J154" i="10" s="1"/>
  <c r="G226" i="1"/>
  <c r="F146" i="10" s="1"/>
  <c r="F154" i="10" s="1"/>
  <c r="G209" i="1"/>
  <c r="F209" i="1"/>
  <c r="D226" i="1"/>
  <c r="C146" i="10" s="1"/>
  <c r="C154" i="10" s="1"/>
  <c r="H226" i="1"/>
  <c r="G146" i="10" s="1"/>
  <c r="G154" i="10" s="1"/>
  <c r="O226" i="1"/>
  <c r="N146" i="10" s="1"/>
  <c r="N154" i="10" s="1"/>
  <c r="N226" i="1"/>
  <c r="E226" i="1"/>
  <c r="D146" i="10" s="1"/>
  <c r="D154" i="10" s="1"/>
  <c r="C226" i="1"/>
  <c r="B146" i="10" s="1"/>
  <c r="B154" i="10" s="1"/>
  <c r="J226" i="1"/>
  <c r="I146" i="10" s="1"/>
  <c r="I154" i="10" s="1"/>
  <c r="I226" i="1"/>
  <c r="H146" i="10" s="1"/>
  <c r="H154" i="10" s="1"/>
  <c r="M226" i="1"/>
  <c r="L146" i="10" s="1"/>
  <c r="L154" i="10" s="1"/>
  <c r="L226" i="1"/>
  <c r="K146" i="10" s="1"/>
  <c r="K154" i="10" s="1"/>
  <c r="D112" i="10" l="1"/>
  <c r="G97" i="10"/>
  <c r="C112" i="10" s="1"/>
  <c r="B112" i="10"/>
  <c r="V152" i="10"/>
  <c r="E163" i="10" s="1"/>
  <c r="V150" i="10"/>
  <c r="E161" i="10" s="1"/>
  <c r="W248" i="1"/>
  <c r="C165" i="10"/>
  <c r="M146" i="10"/>
  <c r="E143" i="10"/>
  <c r="F143" i="10"/>
  <c r="E146" i="10"/>
  <c r="E95" i="10"/>
  <c r="B118" i="10" s="1"/>
  <c r="E115" i="10"/>
  <c r="V95" i="10"/>
  <c r="E118" i="10" s="1"/>
  <c r="F227" i="1"/>
  <c r="F228" i="1" s="1"/>
  <c r="E96" i="10" s="1"/>
  <c r="N227" i="1"/>
  <c r="N228" i="1" s="1"/>
  <c r="G210" i="1"/>
  <c r="G252" i="1" s="1"/>
  <c r="G251" i="1"/>
  <c r="F152" i="10" s="1"/>
  <c r="C163" i="10" s="1"/>
  <c r="W252" i="1"/>
  <c r="F210" i="1"/>
  <c r="F252" i="1" s="1"/>
  <c r="F251" i="1"/>
  <c r="E152" i="10" s="1"/>
  <c r="B163" i="10" s="1"/>
  <c r="V97" i="10"/>
  <c r="E227" i="1"/>
  <c r="C227" i="1"/>
  <c r="K227" i="1"/>
  <c r="O227" i="1"/>
  <c r="O228" i="1" s="1"/>
  <c r="N96" i="10" s="1"/>
  <c r="H227" i="1"/>
  <c r="D227" i="1"/>
  <c r="L227" i="1"/>
  <c r="M227" i="1"/>
  <c r="I227" i="1"/>
  <c r="J227" i="1"/>
  <c r="G227" i="1"/>
  <c r="W226" i="1"/>
  <c r="V146" i="10" s="1"/>
  <c r="O214" i="1"/>
  <c r="N214" i="1"/>
  <c r="D165" i="10" l="1"/>
  <c r="M154" i="10"/>
  <c r="E165" i="10"/>
  <c r="V154" i="10"/>
  <c r="B165" i="10"/>
  <c r="E154" i="10"/>
  <c r="E112" i="10"/>
  <c r="N144" i="10"/>
  <c r="M144" i="10"/>
  <c r="M96" i="10"/>
  <c r="N251" i="1"/>
  <c r="G228" i="1"/>
  <c r="F96" i="10" s="1"/>
  <c r="M228" i="1"/>
  <c r="L96" i="10" s="1"/>
  <c r="E228" i="1"/>
  <c r="D96" i="10" s="1"/>
  <c r="L228" i="1"/>
  <c r="K96" i="10" s="1"/>
  <c r="D228" i="1"/>
  <c r="C96" i="10" s="1"/>
  <c r="H228" i="1"/>
  <c r="G96" i="10" s="1"/>
  <c r="K228" i="1"/>
  <c r="J96" i="10" s="1"/>
  <c r="J228" i="1"/>
  <c r="I96" i="10" s="1"/>
  <c r="C228" i="1"/>
  <c r="B96" i="10" s="1"/>
  <c r="I228" i="1"/>
  <c r="H96" i="10" s="1"/>
  <c r="O215" i="1"/>
  <c r="O252" i="1" s="1"/>
  <c r="O251" i="1"/>
  <c r="N152" i="10" s="1"/>
  <c r="W227" i="1"/>
  <c r="W228" i="1" s="1"/>
  <c r="N215" i="1"/>
  <c r="M152" i="10" l="1"/>
  <c r="D163" i="10" s="1"/>
  <c r="C119" i="10"/>
  <c r="B119" i="10"/>
  <c r="D119" i="10"/>
  <c r="V96" i="10"/>
  <c r="E119" i="10" s="1"/>
  <c r="O216" i="1"/>
  <c r="N94" i="10" s="1"/>
  <c r="N216" i="1"/>
  <c r="M94" i="10" s="1"/>
  <c r="N252" i="1"/>
  <c r="F62" i="1" l="1"/>
  <c r="I200" i="8"/>
  <c r="I277" i="8"/>
  <c r="L200" i="8"/>
  <c r="M200" i="8"/>
  <c r="J200" i="8"/>
  <c r="E200" i="8"/>
  <c r="E277" i="8" s="1"/>
  <c r="C200" i="8"/>
  <c r="D200" i="8"/>
  <c r="F200" i="8"/>
  <c r="F277" i="8" s="1"/>
  <c r="G200" i="8"/>
  <c r="H200" i="8"/>
  <c r="K200" i="8"/>
  <c r="K77" i="2" s="1"/>
  <c r="K80" i="2" s="1"/>
  <c r="K16" i="1" s="1"/>
  <c r="K201" i="8" s="1"/>
  <c r="O200" i="8"/>
  <c r="N200" i="8"/>
  <c r="I77" i="2" l="1"/>
  <c r="I80" i="2" s="1"/>
  <c r="I16" i="1" s="1"/>
  <c r="I201" i="8" s="1"/>
  <c r="M277" i="8"/>
  <c r="M77" i="2"/>
  <c r="M80" i="2" s="1"/>
  <c r="M16" i="1" s="1"/>
  <c r="AC6" i="1" s="1"/>
  <c r="AF6" i="1" s="1"/>
  <c r="L77" i="2"/>
  <c r="L80" i="2" s="1"/>
  <c r="L16" i="1" s="1"/>
  <c r="L201" i="8" s="1"/>
  <c r="K164" i="1"/>
  <c r="K38" i="8"/>
  <c r="J55" i="9"/>
  <c r="H77" i="2"/>
  <c r="H80" i="2" s="1"/>
  <c r="H16" i="1" s="1"/>
  <c r="H201" i="8" s="1"/>
  <c r="G77" i="2"/>
  <c r="G80" i="2" s="1"/>
  <c r="G16" i="1" s="1"/>
  <c r="G201" i="8" s="1"/>
  <c r="F77" i="2"/>
  <c r="F80" i="2" s="1"/>
  <c r="F16" i="1" s="1"/>
  <c r="F201" i="8" s="1"/>
  <c r="D77" i="2"/>
  <c r="D80" i="2" s="1"/>
  <c r="D16" i="1" s="1"/>
  <c r="D201" i="8" s="1"/>
  <c r="L277" i="8"/>
  <c r="C77" i="2"/>
  <c r="C80" i="2" s="1"/>
  <c r="C16" i="1" s="1"/>
  <c r="C201" i="8" s="1"/>
  <c r="E77" i="2"/>
  <c r="E80" i="2" s="1"/>
  <c r="E16" i="1" s="1"/>
  <c r="E201" i="8" s="1"/>
  <c r="O277" i="8"/>
  <c r="O77" i="2"/>
  <c r="O80" i="2" s="1"/>
  <c r="O16" i="1" s="1"/>
  <c r="O201" i="8" s="1"/>
  <c r="J277" i="8"/>
  <c r="J77" i="2"/>
  <c r="J80" i="2" s="1"/>
  <c r="J16" i="1" s="1"/>
  <c r="J201" i="8" s="1"/>
  <c r="N277" i="8"/>
  <c r="N77" i="2"/>
  <c r="N80" i="2" s="1"/>
  <c r="N16" i="1" s="1"/>
  <c r="D277" i="8"/>
  <c r="C277" i="8"/>
  <c r="K277" i="8"/>
  <c r="G277" i="8"/>
  <c r="H277" i="8"/>
  <c r="M201" i="8" l="1"/>
  <c r="Z16" i="1"/>
  <c r="J74" i="9"/>
  <c r="K89" i="9"/>
  <c r="N201" i="8"/>
  <c r="E164" i="1"/>
  <c r="E38" i="8"/>
  <c r="D55" i="9"/>
  <c r="G38" i="8"/>
  <c r="F55" i="9"/>
  <c r="G89" i="9" s="1"/>
  <c r="G164" i="1"/>
  <c r="C164" i="1"/>
  <c r="B55" i="9"/>
  <c r="C89" i="9" s="1"/>
  <c r="C38" i="8"/>
  <c r="J164" i="1"/>
  <c r="J38" i="8"/>
  <c r="I55" i="9"/>
  <c r="M164" i="1"/>
  <c r="M38" i="8"/>
  <c r="L55" i="9"/>
  <c r="K55" i="9"/>
  <c r="L164" i="1"/>
  <c r="L38" i="8"/>
  <c r="C55" i="9"/>
  <c r="D164" i="1"/>
  <c r="D38" i="8"/>
  <c r="P16" i="1"/>
  <c r="P201" i="8" s="1"/>
  <c r="O38" i="8"/>
  <c r="N55" i="9"/>
  <c r="O164" i="1"/>
  <c r="H55" i="9"/>
  <c r="I164" i="1"/>
  <c r="I38" i="8"/>
  <c r="K165" i="1"/>
  <c r="J136" i="10" s="1"/>
  <c r="K246" i="1"/>
  <c r="G55" i="9"/>
  <c r="H164" i="1"/>
  <c r="H38" i="8"/>
  <c r="F164" i="1"/>
  <c r="E55" i="9"/>
  <c r="F38" i="8"/>
  <c r="M55" i="9"/>
  <c r="N164" i="1"/>
  <c r="N38" i="8"/>
  <c r="D74" i="9" l="1"/>
  <c r="E89" i="9"/>
  <c r="H74" i="9"/>
  <c r="I89" i="9"/>
  <c r="I74" i="9"/>
  <c r="J89" i="9"/>
  <c r="K74" i="9"/>
  <c r="AB74" i="9" s="1"/>
  <c r="L89" i="9"/>
  <c r="E74" i="9"/>
  <c r="F89" i="9"/>
  <c r="L74" i="9"/>
  <c r="M89" i="9"/>
  <c r="M74" i="9"/>
  <c r="N89" i="9"/>
  <c r="C74" i="9"/>
  <c r="D89" i="9"/>
  <c r="N74" i="9"/>
  <c r="O89" i="9"/>
  <c r="G74" i="9"/>
  <c r="H89" i="9"/>
  <c r="P202" i="8"/>
  <c r="P278" i="8"/>
  <c r="P284" i="8" s="1"/>
  <c r="G165" i="1"/>
  <c r="F136" i="10" s="1"/>
  <c r="G246" i="1"/>
  <c r="F165" i="1"/>
  <c r="E136" i="10" s="1"/>
  <c r="F246" i="1"/>
  <c r="Y55" i="9"/>
  <c r="Y74" i="9" s="1"/>
  <c r="F74" i="9"/>
  <c r="O55" i="9"/>
  <c r="P164" i="1"/>
  <c r="D165" i="1"/>
  <c r="C136" i="10" s="1"/>
  <c r="D246" i="1"/>
  <c r="K166" i="1"/>
  <c r="K247" i="1"/>
  <c r="J165" i="1"/>
  <c r="I136" i="10" s="1"/>
  <c r="J246" i="1"/>
  <c r="I165" i="1"/>
  <c r="H136" i="10" s="1"/>
  <c r="I246" i="1"/>
  <c r="H165" i="1"/>
  <c r="G136" i="10" s="1"/>
  <c r="H246" i="1"/>
  <c r="M165" i="1"/>
  <c r="L136" i="10" s="1"/>
  <c r="M246" i="1"/>
  <c r="X55" i="9"/>
  <c r="X74" i="9" s="1"/>
  <c r="B74" i="9"/>
  <c r="L165" i="1"/>
  <c r="K136" i="10" s="1"/>
  <c r="L246" i="1"/>
  <c r="K202" i="8"/>
  <c r="K278" i="8"/>
  <c r="K284" i="8" s="1"/>
  <c r="O165" i="1"/>
  <c r="N136" i="10" s="1"/>
  <c r="S164" i="1"/>
  <c r="U164" i="1"/>
  <c r="V164" i="1"/>
  <c r="Q164" i="1"/>
  <c r="T164" i="1"/>
  <c r="R164" i="1"/>
  <c r="O246" i="1"/>
  <c r="C165" i="1"/>
  <c r="B136" i="10" s="1"/>
  <c r="C246" i="1"/>
  <c r="E165" i="1"/>
  <c r="D136" i="10" s="1"/>
  <c r="E246" i="1"/>
  <c r="AB55" i="9"/>
  <c r="Z55" i="9"/>
  <c r="Z74" i="9" s="1"/>
  <c r="AA55" i="9"/>
  <c r="AA38" i="8"/>
  <c r="Y38" i="8"/>
  <c r="Z38" i="8"/>
  <c r="N165" i="1"/>
  <c r="M136" i="10" s="1"/>
  <c r="N246" i="1"/>
  <c r="J150" i="10" l="1"/>
  <c r="K248" i="1"/>
  <c r="J99" i="10" s="1"/>
  <c r="AA74" i="9"/>
  <c r="O74" i="9"/>
  <c r="P89" i="9"/>
  <c r="P203" i="8"/>
  <c r="P280" i="8" s="1"/>
  <c r="P279" i="8"/>
  <c r="P285" i="8" s="1"/>
  <c r="V165" i="1"/>
  <c r="V246" i="1"/>
  <c r="D202" i="8"/>
  <c r="D278" i="8"/>
  <c r="D284" i="8" s="1"/>
  <c r="S165" i="1"/>
  <c r="S246" i="1"/>
  <c r="I166" i="1"/>
  <c r="I247" i="1"/>
  <c r="P165" i="1"/>
  <c r="O136" i="10" s="1"/>
  <c r="P246" i="1"/>
  <c r="J86" i="10"/>
  <c r="U165" i="1"/>
  <c r="U246" i="1"/>
  <c r="C202" i="8"/>
  <c r="C278" i="8"/>
  <c r="C284" i="8" s="1"/>
  <c r="H166" i="1"/>
  <c r="H247" i="1"/>
  <c r="J166" i="1"/>
  <c r="J247" i="1"/>
  <c r="E166" i="1"/>
  <c r="E247" i="1"/>
  <c r="O166" i="1"/>
  <c r="O247" i="1"/>
  <c r="M166" i="1"/>
  <c r="M247" i="1"/>
  <c r="G166" i="1"/>
  <c r="G247" i="1"/>
  <c r="L202" i="8"/>
  <c r="L278" i="8"/>
  <c r="L284" i="8" s="1"/>
  <c r="R165" i="1"/>
  <c r="R246" i="1"/>
  <c r="K279" i="8"/>
  <c r="K285" i="8" s="1"/>
  <c r="K203" i="8"/>
  <c r="M202" i="8"/>
  <c r="M278" i="8"/>
  <c r="M284" i="8" s="1"/>
  <c r="O202" i="8"/>
  <c r="O278" i="8"/>
  <c r="O284" i="8" s="1"/>
  <c r="H202" i="8"/>
  <c r="H278" i="8"/>
  <c r="H284" i="8" s="1"/>
  <c r="C166" i="1"/>
  <c r="C247" i="1"/>
  <c r="G202" i="8"/>
  <c r="G278" i="8"/>
  <c r="G284" i="8" s="1"/>
  <c r="E202" i="8"/>
  <c r="E278" i="8"/>
  <c r="E284" i="8" s="1"/>
  <c r="F166" i="1"/>
  <c r="F247" i="1"/>
  <c r="T165" i="1"/>
  <c r="T246" i="1"/>
  <c r="J202" i="8"/>
  <c r="J278" i="8"/>
  <c r="J284" i="8" s="1"/>
  <c r="Q165" i="1"/>
  <c r="Q246" i="1"/>
  <c r="L166" i="1"/>
  <c r="L247" i="1"/>
  <c r="D166" i="1"/>
  <c r="D247" i="1"/>
  <c r="I202" i="8"/>
  <c r="I278" i="8"/>
  <c r="I284" i="8" s="1"/>
  <c r="F202" i="8"/>
  <c r="F278" i="8"/>
  <c r="F284" i="8" s="1"/>
  <c r="N166" i="1"/>
  <c r="M86" i="10" s="1"/>
  <c r="N247" i="1"/>
  <c r="N202" i="8"/>
  <c r="N278" i="8"/>
  <c r="N284" i="8" s="1"/>
  <c r="H150" i="10" l="1"/>
  <c r="I248" i="1"/>
  <c r="H99" i="10" s="1"/>
  <c r="B150" i="10"/>
  <c r="C248" i="1"/>
  <c r="B99" i="10" s="1"/>
  <c r="N150" i="10"/>
  <c r="O248" i="1"/>
  <c r="N99" i="10" s="1"/>
  <c r="L150" i="10"/>
  <c r="M248" i="1"/>
  <c r="L99" i="10" s="1"/>
  <c r="M150" i="10"/>
  <c r="N248" i="1"/>
  <c r="M99" i="10" s="1"/>
  <c r="C150" i="10"/>
  <c r="D248" i="1"/>
  <c r="C99" i="10" s="1"/>
  <c r="E150" i="10"/>
  <c r="F248" i="1"/>
  <c r="E99" i="10" s="1"/>
  <c r="D150" i="10"/>
  <c r="E248" i="1"/>
  <c r="D99" i="10" s="1"/>
  <c r="G150" i="10"/>
  <c r="H248" i="1"/>
  <c r="G99" i="10" s="1"/>
  <c r="K150" i="10"/>
  <c r="L248" i="1"/>
  <c r="K99" i="10" s="1"/>
  <c r="F150" i="10"/>
  <c r="G248" i="1"/>
  <c r="F99" i="10" s="1"/>
  <c r="I150" i="10"/>
  <c r="J248" i="1"/>
  <c r="I99" i="10" s="1"/>
  <c r="P91" i="9"/>
  <c r="P90" i="9"/>
  <c r="E279" i="8"/>
  <c r="E285" i="8" s="1"/>
  <c r="E203" i="8"/>
  <c r="F86" i="10"/>
  <c r="K280" i="8"/>
  <c r="I279" i="8"/>
  <c r="I285" i="8" s="1"/>
  <c r="I203" i="8"/>
  <c r="H279" i="8"/>
  <c r="H285" i="8" s="1"/>
  <c r="H203" i="8"/>
  <c r="N86" i="10"/>
  <c r="C86" i="10"/>
  <c r="P166" i="1"/>
  <c r="P247" i="1"/>
  <c r="K86" i="10"/>
  <c r="G279" i="8"/>
  <c r="G285" i="8" s="1"/>
  <c r="G203" i="8"/>
  <c r="Q166" i="1"/>
  <c r="Q247" i="1"/>
  <c r="E86" i="10"/>
  <c r="O279" i="8"/>
  <c r="O285" i="8" s="1"/>
  <c r="O203" i="8"/>
  <c r="L279" i="8"/>
  <c r="L285" i="8" s="1"/>
  <c r="L203" i="8"/>
  <c r="I86" i="10"/>
  <c r="C279" i="8"/>
  <c r="C203" i="8"/>
  <c r="D279" i="8"/>
  <c r="D285" i="8" s="1"/>
  <c r="D203" i="8"/>
  <c r="G86" i="10"/>
  <c r="S166" i="1"/>
  <c r="S247" i="1"/>
  <c r="L86" i="10"/>
  <c r="H86" i="10"/>
  <c r="T166" i="1"/>
  <c r="T247" i="1"/>
  <c r="R166" i="1"/>
  <c r="R247" i="1"/>
  <c r="F279" i="8"/>
  <c r="F285" i="8" s="1"/>
  <c r="F203" i="8"/>
  <c r="J279" i="8"/>
  <c r="J285" i="8" s="1"/>
  <c r="J203" i="8"/>
  <c r="B86" i="10"/>
  <c r="M279" i="8"/>
  <c r="M285" i="8" s="1"/>
  <c r="M203" i="8"/>
  <c r="D86" i="10"/>
  <c r="U166" i="1"/>
  <c r="U247" i="1"/>
  <c r="V166" i="1"/>
  <c r="V247" i="1"/>
  <c r="N279" i="8"/>
  <c r="N203" i="8"/>
  <c r="L246" i="8"/>
  <c r="H246" i="8"/>
  <c r="H291" i="8" s="1"/>
  <c r="H296" i="8" s="1"/>
  <c r="O246" i="8"/>
  <c r="O291" i="8" s="1"/>
  <c r="O296" i="8" s="1"/>
  <c r="I246" i="8"/>
  <c r="E246" i="8"/>
  <c r="J246" i="8"/>
  <c r="K246" i="8"/>
  <c r="K291" i="8" s="1"/>
  <c r="W246" i="8"/>
  <c r="C211" i="1"/>
  <c r="B93" i="10" s="1"/>
  <c r="X246" i="8"/>
  <c r="X291" i="8" s="1"/>
  <c r="J211" i="1"/>
  <c r="I93" i="10" s="1"/>
  <c r="F211" i="1"/>
  <c r="E93" i="10" s="1"/>
  <c r="G211" i="1"/>
  <c r="F93" i="10" s="1"/>
  <c r="I211" i="1"/>
  <c r="H93" i="10" s="1"/>
  <c r="L211" i="1"/>
  <c r="K93" i="10" s="1"/>
  <c r="H211" i="1"/>
  <c r="G93" i="10" s="1"/>
  <c r="D211" i="1"/>
  <c r="C93" i="10" s="1"/>
  <c r="M211" i="1"/>
  <c r="L93" i="10" s="1"/>
  <c r="K211" i="1"/>
  <c r="J93" i="10" s="1"/>
  <c r="W211" i="1"/>
  <c r="V93" i="10" s="1"/>
  <c r="N211" i="1"/>
  <c r="M93" i="10" s="1"/>
  <c r="F246" i="8"/>
  <c r="F291" i="8" s="1"/>
  <c r="F296" i="8" s="1"/>
  <c r="D246" i="8"/>
  <c r="D291" i="8" s="1"/>
  <c r="D296" i="8" s="1"/>
  <c r="G246" i="8"/>
  <c r="M246" i="8"/>
  <c r="O211" i="1"/>
  <c r="N93" i="10" s="1"/>
  <c r="C246" i="8"/>
  <c r="C291" i="8" s="1"/>
  <c r="E211" i="1"/>
  <c r="D93" i="10" s="1"/>
  <c r="N246" i="8"/>
  <c r="C161" i="10" l="1"/>
  <c r="B161" i="10"/>
  <c r="P248" i="1"/>
  <c r="O99" i="10" s="1"/>
  <c r="O150" i="10"/>
  <c r="D161" i="10" s="1"/>
  <c r="R90" i="9"/>
  <c r="Q90" i="9"/>
  <c r="S90" i="9"/>
  <c r="V90" i="9"/>
  <c r="T90" i="9"/>
  <c r="U90" i="9"/>
  <c r="V91" i="9"/>
  <c r="R91" i="9"/>
  <c r="U91" i="9"/>
  <c r="Q91" i="9"/>
  <c r="S91" i="9"/>
  <c r="T91" i="9"/>
  <c r="B115" i="10"/>
  <c r="C115" i="10"/>
  <c r="O86" i="10"/>
  <c r="D115" i="10" s="1"/>
  <c r="C285" i="8"/>
  <c r="O280" i="8"/>
  <c r="G280" i="8"/>
  <c r="J280" i="8"/>
  <c r="H280" i="8"/>
  <c r="C280" i="8"/>
  <c r="E280" i="8"/>
  <c r="F280" i="8"/>
  <c r="D280" i="8"/>
  <c r="L280" i="8"/>
  <c r="M280" i="8"/>
  <c r="I280" i="8"/>
  <c r="U36" i="1"/>
  <c r="W36" i="1" s="1"/>
  <c r="N280" i="8"/>
  <c r="N285" i="8"/>
  <c r="W253" i="1"/>
  <c r="K253" i="1"/>
  <c r="J101" i="10" s="1"/>
  <c r="G253" i="1"/>
  <c r="F101" i="10" s="1"/>
  <c r="J253" i="1"/>
  <c r="I101" i="10" s="1"/>
  <c r="O253" i="1"/>
  <c r="N101" i="10" s="1"/>
  <c r="H253" i="1"/>
  <c r="G101" i="10" s="1"/>
  <c r="B101" i="10"/>
  <c r="L291" i="8"/>
  <c r="L296" i="8" s="1"/>
  <c r="G291" i="8"/>
  <c r="G296" i="8" s="1"/>
  <c r="M253" i="1"/>
  <c r="L101" i="10" s="1"/>
  <c r="C101" i="10"/>
  <c r="L253" i="1"/>
  <c r="K101" i="10" s="1"/>
  <c r="K296" i="8"/>
  <c r="C296" i="8"/>
  <c r="X296" i="8"/>
  <c r="N291" i="8"/>
  <c r="N296" i="8" s="1"/>
  <c r="N253" i="1"/>
  <c r="M101" i="10" s="1"/>
  <c r="D101" i="10"/>
  <c r="W291" i="8"/>
  <c r="J291" i="8"/>
  <c r="J296" i="8" s="1"/>
  <c r="I291" i="8"/>
  <c r="I296" i="8" s="1"/>
  <c r="M291" i="8"/>
  <c r="M296" i="8" s="1"/>
  <c r="I253" i="1"/>
  <c r="H101" i="10" s="1"/>
  <c r="E291" i="8"/>
  <c r="E296" i="8" s="1"/>
  <c r="E101" i="10"/>
  <c r="V101" i="10" l="1"/>
  <c r="E117" i="10" s="1"/>
  <c r="W254" i="1"/>
  <c r="B117" i="10"/>
  <c r="D117" i="10"/>
  <c r="C117" i="10"/>
  <c r="W296" i="8"/>
  <c r="M185" i="1" l="1"/>
  <c r="P185" i="1"/>
  <c r="O139" i="10" s="1"/>
  <c r="D185" i="1"/>
  <c r="C139" i="10" s="1"/>
  <c r="J185" i="1"/>
  <c r="I139" i="10" s="1"/>
  <c r="F185" i="1"/>
  <c r="N185" i="1"/>
  <c r="M139" i="10" s="1"/>
  <c r="I185" i="1"/>
  <c r="H139" i="10" s="1"/>
  <c r="G185" i="1"/>
  <c r="E185" i="1"/>
  <c r="K185" i="1"/>
  <c r="J139" i="10" s="1"/>
  <c r="O185" i="1"/>
  <c r="N139" i="10" s="1"/>
  <c r="H185" i="1"/>
  <c r="L185" i="1"/>
  <c r="K139" i="10" s="1"/>
  <c r="C185" i="1"/>
  <c r="B139" i="10" s="1"/>
  <c r="G188" i="1" l="1"/>
  <c r="F139" i="10"/>
  <c r="E188" i="1"/>
  <c r="D139" i="10"/>
  <c r="M188" i="1"/>
  <c r="L89" i="10" s="1"/>
  <c r="L139" i="10"/>
  <c r="G139" i="10"/>
  <c r="F188" i="1"/>
  <c r="E89" i="10" s="1"/>
  <c r="E139" i="10"/>
  <c r="K188" i="1"/>
  <c r="J89" i="10" s="1"/>
  <c r="J188" i="1"/>
  <c r="I188" i="1"/>
  <c r="H188" i="1"/>
  <c r="G89" i="10" s="1"/>
  <c r="F89" i="10"/>
  <c r="N188" i="1"/>
  <c r="D188" i="1"/>
  <c r="C188" i="1"/>
  <c r="L188" i="1"/>
  <c r="P188" i="1"/>
  <c r="O188" i="1"/>
  <c r="W185" i="1"/>
  <c r="D89" i="10" l="1"/>
  <c r="V139" i="10"/>
  <c r="V139" i="11"/>
  <c r="W205" i="11" s="1"/>
  <c r="I89" i="10"/>
  <c r="H89" i="10"/>
  <c r="K89" i="10"/>
  <c r="M89" i="10"/>
  <c r="B89" i="10"/>
  <c r="O89" i="10"/>
  <c r="W188" i="1"/>
  <c r="N89" i="10"/>
  <c r="C89" i="10"/>
  <c r="X185" i="1"/>
  <c r="V205" i="11" l="1"/>
  <c r="U205" i="11"/>
  <c r="T205" i="11"/>
  <c r="S205" i="11"/>
  <c r="R205" i="11"/>
  <c r="Q205" i="11"/>
  <c r="D162" i="11"/>
  <c r="V140" i="11"/>
  <c r="W139" i="10"/>
  <c r="V89" i="10"/>
  <c r="X188" i="1"/>
  <c r="W89" i="10" l="1"/>
  <c r="K192" i="1"/>
  <c r="J192" i="1"/>
  <c r="J196" i="1" s="1"/>
  <c r="N192" i="1"/>
  <c r="N196" i="1" s="1"/>
  <c r="E192" i="1"/>
  <c r="I192" i="1"/>
  <c r="I196" i="1" s="1"/>
  <c r="M192" i="1"/>
  <c r="G192" i="1"/>
  <c r="H192" i="1"/>
  <c r="D192" i="1"/>
  <c r="F192" i="1"/>
  <c r="C192" i="1"/>
  <c r="O192" i="1"/>
  <c r="O196" i="1" s="1"/>
  <c r="L192" i="1"/>
  <c r="P192" i="1"/>
  <c r="K140" i="10" l="1"/>
  <c r="L196" i="1"/>
  <c r="O140" i="10"/>
  <c r="P196" i="1"/>
  <c r="L140" i="10"/>
  <c r="M196" i="1"/>
  <c r="B140" i="10"/>
  <c r="C196" i="1"/>
  <c r="E140" i="10"/>
  <c r="F196" i="1"/>
  <c r="J140" i="10"/>
  <c r="K196" i="1"/>
  <c r="F140" i="10"/>
  <c r="G196" i="1"/>
  <c r="D140" i="10"/>
  <c r="E196" i="1"/>
  <c r="D240" i="1"/>
  <c r="D196" i="1"/>
  <c r="G140" i="10"/>
  <c r="H196" i="1"/>
  <c r="P240" i="1"/>
  <c r="I240" i="1"/>
  <c r="H140" i="10"/>
  <c r="E240" i="1"/>
  <c r="H240" i="1"/>
  <c r="N240" i="1"/>
  <c r="M140" i="10"/>
  <c r="J240" i="1"/>
  <c r="I140" i="10"/>
  <c r="D195" i="1"/>
  <c r="C140" i="10"/>
  <c r="O195" i="1"/>
  <c r="N140" i="10"/>
  <c r="M240" i="1"/>
  <c r="C240" i="1"/>
  <c r="G240" i="1"/>
  <c r="E195" i="1"/>
  <c r="H195" i="1"/>
  <c r="C195" i="1"/>
  <c r="P195" i="1"/>
  <c r="K240" i="1"/>
  <c r="L240" i="1"/>
  <c r="O240" i="1"/>
  <c r="M195" i="1"/>
  <c r="N195" i="1"/>
  <c r="F240" i="1"/>
  <c r="I195" i="1"/>
  <c r="J195" i="1"/>
  <c r="K195" i="1"/>
  <c r="W192" i="1"/>
  <c r="W196" i="1" s="1"/>
  <c r="G195" i="1"/>
  <c r="F195" i="1"/>
  <c r="L195" i="1"/>
  <c r="F243" i="1" l="1"/>
  <c r="E151" i="10"/>
  <c r="I243" i="1"/>
  <c r="H151" i="10"/>
  <c r="G243" i="1"/>
  <c r="F151" i="10"/>
  <c r="C162" i="10" s="1"/>
  <c r="P243" i="1"/>
  <c r="P254" i="1" s="1"/>
  <c r="O151" i="10"/>
  <c r="O243" i="1"/>
  <c r="N151" i="10"/>
  <c r="J243" i="1"/>
  <c r="I151" i="10"/>
  <c r="E243" i="1"/>
  <c r="D151" i="10"/>
  <c r="C90" i="10"/>
  <c r="L243" i="1"/>
  <c r="L254" i="1" s="1"/>
  <c r="K151" i="10"/>
  <c r="C243" i="1"/>
  <c r="B151" i="10"/>
  <c r="K243" i="1"/>
  <c r="J151" i="10"/>
  <c r="M243" i="1"/>
  <c r="M254" i="1" s="1"/>
  <c r="L151" i="10"/>
  <c r="N243" i="1"/>
  <c r="N254" i="1" s="1"/>
  <c r="M151" i="10"/>
  <c r="H243" i="1"/>
  <c r="G151" i="10"/>
  <c r="D243" i="1"/>
  <c r="C151" i="10"/>
  <c r="N90" i="10"/>
  <c r="W240" i="1"/>
  <c r="V140" i="10"/>
  <c r="B90" i="10"/>
  <c r="E90" i="10"/>
  <c r="L90" i="10"/>
  <c r="I90" i="10"/>
  <c r="H90" i="10"/>
  <c r="O90" i="10"/>
  <c r="K90" i="10"/>
  <c r="M90" i="10"/>
  <c r="X192" i="1"/>
  <c r="X196" i="1" s="1"/>
  <c r="W195" i="1"/>
  <c r="G90" i="10"/>
  <c r="J90" i="10"/>
  <c r="F90" i="10"/>
  <c r="D90" i="10"/>
  <c r="B162" i="10" l="1"/>
  <c r="D162" i="10"/>
  <c r="J100" i="10"/>
  <c r="K254" i="1"/>
  <c r="F100" i="10"/>
  <c r="G254" i="1"/>
  <c r="B100" i="10"/>
  <c r="C254" i="1"/>
  <c r="H100" i="10"/>
  <c r="I254" i="1"/>
  <c r="C100" i="10"/>
  <c r="D254" i="1"/>
  <c r="D100" i="10"/>
  <c r="E254" i="1"/>
  <c r="D102" i="10" s="1"/>
  <c r="D109" i="10" s="1"/>
  <c r="G100" i="10"/>
  <c r="H254" i="1"/>
  <c r="G102" i="10" s="1"/>
  <c r="G109" i="10" s="1"/>
  <c r="I100" i="10"/>
  <c r="J254" i="1"/>
  <c r="N100" i="10"/>
  <c r="O254" i="1"/>
  <c r="E100" i="10"/>
  <c r="F254" i="1"/>
  <c r="O100" i="10"/>
  <c r="L100" i="10"/>
  <c r="M100" i="10"/>
  <c r="K100" i="10"/>
  <c r="V151" i="10"/>
  <c r="E162" i="10" s="1"/>
  <c r="W243" i="1"/>
  <c r="X240" i="1"/>
  <c r="X243" i="1" s="1"/>
  <c r="X254" i="1" s="1"/>
  <c r="W140" i="10"/>
  <c r="X195" i="1"/>
  <c r="V90" i="10"/>
  <c r="O257" i="1" l="1"/>
  <c r="N102" i="10"/>
  <c r="N109" i="10" s="1"/>
  <c r="M102" i="10"/>
  <c r="M109" i="10" s="1"/>
  <c r="N257" i="1"/>
  <c r="K102" i="10"/>
  <c r="K109" i="10" s="1"/>
  <c r="L257" i="1"/>
  <c r="J257" i="1"/>
  <c r="I102" i="10"/>
  <c r="I109" i="10" s="1"/>
  <c r="H257" i="1"/>
  <c r="M257" i="1"/>
  <c r="L102" i="10"/>
  <c r="L109" i="10" s="1"/>
  <c r="C257" i="1"/>
  <c r="B102" i="10"/>
  <c r="B109" i="10" s="1"/>
  <c r="D257" i="1"/>
  <c r="C102" i="10"/>
  <c r="C109" i="10" s="1"/>
  <c r="F257" i="1"/>
  <c r="E102" i="10"/>
  <c r="E109" i="10" s="1"/>
  <c r="I257" i="1"/>
  <c r="H102" i="10"/>
  <c r="H109" i="10" s="1"/>
  <c r="V104" i="10"/>
  <c r="W100" i="10"/>
  <c r="G257" i="1"/>
  <c r="F102" i="10"/>
  <c r="F109" i="10" s="1"/>
  <c r="P257" i="1"/>
  <c r="O102" i="10"/>
  <c r="O109" i="10" s="1"/>
  <c r="K257" i="1"/>
  <c r="J102" i="10"/>
  <c r="J109" i="10" s="1"/>
  <c r="E257" i="1"/>
  <c r="W151" i="10"/>
  <c r="F162" i="10" s="1"/>
  <c r="D116" i="10"/>
  <c r="D120" i="10" s="1"/>
  <c r="B116" i="10"/>
  <c r="B120" i="10" s="1"/>
  <c r="C116" i="10"/>
  <c r="C120" i="10" s="1"/>
  <c r="U35" i="1"/>
  <c r="W90" i="10"/>
  <c r="K16" i="10" l="1"/>
  <c r="K15" i="10"/>
  <c r="O104" i="10"/>
  <c r="O103" i="10"/>
  <c r="X257" i="1"/>
  <c r="W257" i="1"/>
  <c r="V103" i="10"/>
  <c r="E116" i="10"/>
  <c r="E120" i="10" s="1"/>
  <c r="V35" i="1"/>
  <c r="W35" i="1" s="1"/>
  <c r="W109" i="10"/>
  <c r="V109" i="10" l="1"/>
  <c r="J15" i="10"/>
  <c r="J16" i="10"/>
  <c r="R103" i="10"/>
  <c r="P103" i="10"/>
  <c r="T103" i="10"/>
  <c r="U103" i="10"/>
  <c r="Q103" i="10"/>
  <c r="S103" i="10"/>
  <c r="F116" i="10"/>
  <c r="F120" i="10" s="1"/>
  <c r="P104" i="10"/>
  <c r="S104" i="10"/>
  <c r="R104" i="10"/>
  <c r="Q104" i="10"/>
  <c r="T104" i="10"/>
  <c r="U104" i="10"/>
  <c r="L78" i="8"/>
  <c r="M78" i="8" s="1"/>
  <c r="B78" i="8"/>
  <c r="B82" i="8" s="1"/>
  <c r="C78" i="8" l="1"/>
  <c r="C82" i="8" s="1"/>
  <c r="C84" i="8" s="1"/>
  <c r="H84" i="8" s="1"/>
  <c r="B84" i="8"/>
  <c r="F82" i="8"/>
  <c r="G73" i="8"/>
  <c r="Q73" i="8"/>
  <c r="P78" i="8"/>
  <c r="S149" i="8" l="1"/>
  <c r="S151" i="8" s="1"/>
  <c r="R149" i="8"/>
  <c r="R151" i="8" s="1"/>
  <c r="J149" i="8"/>
  <c r="Q149" i="8"/>
  <c r="Q151" i="8" s="1"/>
  <c r="I149" i="8"/>
  <c r="P149" i="8"/>
  <c r="H149" i="8"/>
  <c r="T149" i="8"/>
  <c r="T151" i="8" s="1"/>
  <c r="L149" i="8"/>
  <c r="D149" i="8"/>
  <c r="K149" i="8"/>
  <c r="O149" i="8"/>
  <c r="G149" i="8"/>
  <c r="V149" i="8"/>
  <c r="V151" i="8" s="1"/>
  <c r="N149" i="8"/>
  <c r="F149" i="8"/>
  <c r="U149" i="8"/>
  <c r="U151" i="8" s="1"/>
  <c r="M149" i="8"/>
  <c r="E149" i="8"/>
  <c r="C149" i="8"/>
  <c r="F84" i="8"/>
  <c r="G84" i="8"/>
  <c r="J281" i="8" l="1"/>
  <c r="J151" i="8"/>
  <c r="O281" i="8"/>
  <c r="O151" i="8"/>
  <c r="M151" i="8"/>
  <c r="M281" i="8"/>
  <c r="K151" i="8"/>
  <c r="K281" i="8"/>
  <c r="C151" i="8"/>
  <c r="C281" i="8"/>
  <c r="D151" i="8"/>
  <c r="D281" i="8"/>
  <c r="H281" i="8"/>
  <c r="H151" i="8"/>
  <c r="I151" i="8"/>
  <c r="I281" i="8"/>
  <c r="E281" i="8"/>
  <c r="E151" i="8"/>
  <c r="F281" i="8"/>
  <c r="F151" i="8"/>
  <c r="N151" i="8"/>
  <c r="N281" i="8"/>
  <c r="W149" i="8"/>
  <c r="L151" i="8"/>
  <c r="L281" i="8"/>
  <c r="G151" i="8"/>
  <c r="G281" i="8"/>
  <c r="P151" i="8"/>
  <c r="P281" i="8"/>
  <c r="H283" i="8" l="1"/>
  <c r="H154" i="8"/>
  <c r="H286" i="8" s="1"/>
  <c r="H302" i="8" s="1"/>
  <c r="W151" i="8"/>
  <c r="X149" i="8"/>
  <c r="W281" i="8"/>
  <c r="M154" i="8"/>
  <c r="M286" i="8" s="1"/>
  <c r="M302" i="8" s="1"/>
  <c r="M283" i="8"/>
  <c r="K154" i="8"/>
  <c r="K286" i="8" s="1"/>
  <c r="K302" i="8" s="1"/>
  <c r="K283" i="8"/>
  <c r="N283" i="8"/>
  <c r="N154" i="8"/>
  <c r="N286" i="8" s="1"/>
  <c r="N302" i="8" s="1"/>
  <c r="D283" i="8"/>
  <c r="D154" i="8"/>
  <c r="D286" i="8" s="1"/>
  <c r="D302" i="8" s="1"/>
  <c r="L283" i="8"/>
  <c r="L154" i="8"/>
  <c r="L286" i="8" s="1"/>
  <c r="L302" i="8" s="1"/>
  <c r="I283" i="8"/>
  <c r="I154" i="8"/>
  <c r="I286" i="8" s="1"/>
  <c r="I302" i="8" s="1"/>
  <c r="F154" i="8"/>
  <c r="F286" i="8" s="1"/>
  <c r="F302" i="8" s="1"/>
  <c r="F283" i="8"/>
  <c r="J283" i="8"/>
  <c r="J154" i="8"/>
  <c r="J286" i="8" s="1"/>
  <c r="J302" i="8" s="1"/>
  <c r="P154" i="8"/>
  <c r="P286" i="8" s="1"/>
  <c r="P302" i="8" s="1"/>
  <c r="P283" i="8"/>
  <c r="O283" i="8"/>
  <c r="O154" i="8"/>
  <c r="O286" i="8" s="1"/>
  <c r="O302" i="8" s="1"/>
  <c r="G154" i="8"/>
  <c r="G286" i="8" s="1"/>
  <c r="G302" i="8" s="1"/>
  <c r="G283" i="8"/>
  <c r="E154" i="8"/>
  <c r="E286" i="8" s="1"/>
  <c r="E302" i="8" s="1"/>
  <c r="E283" i="8"/>
  <c r="C283" i="8"/>
  <c r="C154" i="8"/>
  <c r="C286" i="8" s="1"/>
  <c r="C302" i="8" s="1"/>
  <c r="X281" i="8" l="1"/>
  <c r="X151" i="8"/>
  <c r="W283" i="8"/>
  <c r="W154" i="8"/>
  <c r="W286" i="8" s="1"/>
  <c r="W302" i="8" s="1"/>
  <c r="X283" i="8" l="1"/>
  <c r="X154" i="8"/>
  <c r="X286" i="8" s="1"/>
  <c r="X302" i="8" s="1"/>
  <c r="X303" i="8" s="1"/>
</calcChain>
</file>

<file path=xl/sharedStrings.xml><?xml version="1.0" encoding="utf-8"?>
<sst xmlns="http://schemas.openxmlformats.org/spreadsheetml/2006/main" count="1960" uniqueCount="627">
  <si>
    <t>population</t>
  </si>
  <si>
    <t>blé tendre</t>
  </si>
  <si>
    <t>rendement (t/ha)</t>
  </si>
  <si>
    <t>production (t)</t>
  </si>
  <si>
    <t>blé dur</t>
  </si>
  <si>
    <t>pomme de</t>
  </si>
  <si>
    <t>terre</t>
  </si>
  <si>
    <t>pomme</t>
  </si>
  <si>
    <t>pêche</t>
  </si>
  <si>
    <t>poire</t>
  </si>
  <si>
    <t>produits</t>
  </si>
  <si>
    <t>laitiers</t>
  </si>
  <si>
    <t>tomate</t>
  </si>
  <si>
    <t>viande</t>
  </si>
  <si>
    <t>bovine</t>
  </si>
  <si>
    <t>porcine</t>
  </si>
  <si>
    <t>de volaille</t>
  </si>
  <si>
    <t>ovine et</t>
  </si>
  <si>
    <t>caprine</t>
  </si>
  <si>
    <t>œufs</t>
  </si>
  <si>
    <t>poireau</t>
  </si>
  <si>
    <t>salade</t>
  </si>
  <si>
    <t>total</t>
  </si>
  <si>
    <t>courgette</t>
  </si>
  <si>
    <t>abricot</t>
  </si>
  <si>
    <t>Import</t>
  </si>
  <si>
    <t>Export</t>
  </si>
  <si>
    <t>production France</t>
  </si>
  <si>
    <t>pavie</t>
  </si>
  <si>
    <t>nectarine</t>
  </si>
  <si>
    <t>population France</t>
  </si>
  <si>
    <t>(t)</t>
  </si>
  <si>
    <t>pomme de t</t>
  </si>
  <si>
    <t>nectarine (t)</t>
  </si>
  <si>
    <t>conso apparente (kg/hab)</t>
  </si>
  <si>
    <t>y c feculerie</t>
  </si>
  <si>
    <t>80% de la fécule est actuellement utilisé en agro-alimentaire</t>
  </si>
  <si>
    <t>toutes productions françaises hors production des potagers et vergers des particuliers</t>
  </si>
  <si>
    <t>prod, import, export pommes de table</t>
  </si>
  <si>
    <t>prod, import, export poires de table</t>
  </si>
  <si>
    <t>pois chiche</t>
  </si>
  <si>
    <t>viande bv</t>
  </si>
  <si>
    <t>viande porc</t>
  </si>
  <si>
    <t>viande vol</t>
  </si>
  <si>
    <t>œuf</t>
  </si>
  <si>
    <t>lait</t>
  </si>
  <si>
    <t>viande ov cp</t>
  </si>
  <si>
    <t>conso apparente (kg/hab.an)</t>
  </si>
  <si>
    <t>scénario 1</t>
  </si>
  <si>
    <t>Besoins pour produire (ha)</t>
  </si>
  <si>
    <t>1t lait</t>
  </si>
  <si>
    <t>1t viande bovine</t>
  </si>
  <si>
    <t>1t viande ov ou cp</t>
  </si>
  <si>
    <t>1t viande volaille</t>
  </si>
  <si>
    <t>1t viande porc</t>
  </si>
  <si>
    <t>1t œufs</t>
  </si>
  <si>
    <t>céréales</t>
  </si>
  <si>
    <t>oléoprotéagineux</t>
  </si>
  <si>
    <t>herbe</t>
  </si>
  <si>
    <t>maïs fourrage</t>
  </si>
  <si>
    <t>total (ha)</t>
  </si>
  <si>
    <t>total terre labourées (ha)</t>
  </si>
  <si>
    <t>scénario 2</t>
  </si>
  <si>
    <t>rdt moyen
(t/ha)</t>
  </si>
  <si>
    <t>Besoins pour produire (t)</t>
  </si>
  <si>
    <t>total (t)</t>
  </si>
  <si>
    <t>colza</t>
  </si>
  <si>
    <t>tournesol</t>
  </si>
  <si>
    <t>huile</t>
  </si>
  <si>
    <t>densité</t>
  </si>
  <si>
    <t>rendement (m3 huile/t graine)</t>
  </si>
  <si>
    <t>rendement (t huile/t graine)</t>
  </si>
  <si>
    <t>poids moyen d'un œuf = 0,062 kg</t>
  </si>
  <si>
    <t>NC8 : 0407xxxx et 0408xxxx</t>
  </si>
  <si>
    <t>NC8 fromages : 0406xxxx</t>
  </si>
  <si>
    <t>NC8 beurre, crème et mat grasse lait : 0405xxxx</t>
  </si>
  <si>
    <t>sources : Agreste, Insee, DGDDI</t>
  </si>
  <si>
    <t>Blé tendre</t>
  </si>
  <si>
    <t>Blé dur</t>
  </si>
  <si>
    <t>(ha)</t>
  </si>
  <si>
    <t>seigle</t>
  </si>
  <si>
    <t>orge</t>
  </si>
  <si>
    <t>avoine</t>
  </si>
  <si>
    <t>maïs grain</t>
  </si>
  <si>
    <t>autres céréales</t>
  </si>
  <si>
    <t>soja</t>
  </si>
  <si>
    <t>lin oléa</t>
  </si>
  <si>
    <t>autres oléa</t>
  </si>
  <si>
    <t>légumes</t>
  </si>
  <si>
    <t>fruits</t>
  </si>
  <si>
    <t>TOTAL</t>
  </si>
  <si>
    <t>haricot</t>
  </si>
  <si>
    <t>vert</t>
  </si>
  <si>
    <t>sec, demi-sec</t>
  </si>
  <si>
    <t>choux</t>
  </si>
  <si>
    <t>conso frais : 0,5 kg/hab (CTIFL)</t>
  </si>
  <si>
    <t>conso conserve et surgelé 2020 : 155 300 t, soit 2,3 kg/hab.an (source : Unilet)</t>
  </si>
  <si>
    <t>conso flageolet : 22600 t en 2020, soit 0,33 kg/hab (source : Unilet)</t>
  </si>
  <si>
    <t>conso totale haricot : 3,13 kg/hab.an</t>
  </si>
  <si>
    <t>conso pois conserve et surgelé 2020 : 82 900 t, soit 1,23 kg/hab (source : Unilet)</t>
  </si>
  <si>
    <t>conso pois frais 2020 : 0,08kg/hab.an (CTIFL)</t>
  </si>
  <si>
    <t>conso totale pois : 2,03 kg/hab</t>
  </si>
  <si>
    <t>fleur</t>
  </si>
  <si>
    <t>brocolis</t>
  </si>
  <si>
    <t>huile colza</t>
  </si>
  <si>
    <t>huile tournesol</t>
  </si>
  <si>
    <t>chou fleur et brocolis</t>
  </si>
  <si>
    <t>pomme de terre</t>
  </si>
  <si>
    <t>viande bovine</t>
  </si>
  <si>
    <t>viande porcine</t>
  </si>
  <si>
    <t>viande de volaille</t>
  </si>
  <si>
    <t>viande ovine et caprine</t>
  </si>
  <si>
    <t>lait et produits laitiers</t>
  </si>
  <si>
    <t>légumes secs</t>
  </si>
  <si>
    <t>huiles végétales</t>
  </si>
  <si>
    <t>viandes</t>
  </si>
  <si>
    <t>lait et pdts laitiers</t>
  </si>
  <si>
    <t>scénario 2 / scénario 1</t>
  </si>
  <si>
    <t>sources :</t>
  </si>
  <si>
    <t xml:space="preserve">planification écolo : -13 MteqCO2 pour l'agriculture (dont - 5 MteqCO2 pour l'élevage) d'ici 2030 par rapport à 2022 </t>
  </si>
  <si>
    <t>pour élevage : 66 Mt en 2022, obj 61 en 2030, soit améliorations techno pour 0,5Mt et -4,5Mt de réduction du volume d'élevage soit - 7 %</t>
  </si>
  <si>
    <t>la SNBC révisée en 2020 fixe pour 2030 l'objectif d'émissions de l'agriculture à 73 MteqCO2, contre 68 dans la planif écolo 2023</t>
  </si>
  <si>
    <t>Emissions agri</t>
  </si>
  <si>
    <t>dont élevage</t>
  </si>
  <si>
    <t>2030 planif</t>
  </si>
  <si>
    <t>2030 SNBC</t>
  </si>
  <si>
    <t>2050 SNBC</t>
  </si>
  <si>
    <t>ADEME 2050 : entre -30 et -67% de consommation de viande pour respecter la SNBC</t>
  </si>
  <si>
    <t>(MteqCO2)</t>
  </si>
  <si>
    <t>dont réduc volum élevage</t>
  </si>
  <si>
    <t>-30 à -67%</t>
  </si>
  <si>
    <t>soit</t>
  </si>
  <si>
    <t>-4,5 / 2021</t>
  </si>
  <si>
    <t>chou fleur</t>
  </si>
  <si>
    <t>et brocolis</t>
  </si>
  <si>
    <t>carotte</t>
  </si>
  <si>
    <t>brocoli</t>
  </si>
  <si>
    <t>Légumes secs</t>
  </si>
  <si>
    <t>production hum (t)</t>
  </si>
  <si>
    <t>surface humain (ha)</t>
  </si>
  <si>
    <t>lég secs</t>
  </si>
  <si>
    <t>auto-appro</t>
  </si>
  <si>
    <t>Source : opinion international : 7kg de céréales nécessaire pour produire 1kg de bœuf, 4 pour 1kg de porc et 2 pour 1kg de poulet</t>
  </si>
  <si>
    <t>concentré</t>
  </si>
  <si>
    <t>concentré (t)</t>
  </si>
  <si>
    <t>concentré (ha)</t>
  </si>
  <si>
    <t>Inosys 2021</t>
  </si>
  <si>
    <t>Moyenne</t>
  </si>
  <si>
    <t>lait produit/ha surf fourragère</t>
  </si>
  <si>
    <t>concentré g/l lait produit</t>
  </si>
  <si>
    <t>Inosys 2021 / données lait</t>
  </si>
  <si>
    <t>Inosys 2021 / données viande bv</t>
  </si>
  <si>
    <t>prod viande vive kg/UGB</t>
  </si>
  <si>
    <t>concentrés kg/UGB</t>
  </si>
  <si>
    <t>rendement d'environ 40 % entre animal sur pied et viande nette pour les jeunes bovins race charolais (source : Idele, Interbev)</t>
  </si>
  <si>
    <t>naisseur engraisseur charolais &lt; 1,4 UGB/ha</t>
  </si>
  <si>
    <t>OV spécialisés plaine</t>
  </si>
  <si>
    <t>OV spécialisé montagne</t>
  </si>
  <si>
    <t>concentré ov kg/kg carcasse produit</t>
  </si>
  <si>
    <t>moyenne</t>
  </si>
  <si>
    <t>rdt viande bv / viande vive</t>
  </si>
  <si>
    <t>rdt viande bv kg/UGB</t>
  </si>
  <si>
    <t>rdt viande ov/kg carcasse</t>
  </si>
  <si>
    <t>concentré ov kg/kg viande ov</t>
  </si>
  <si>
    <t>2 usages principaux du colza : huile alimentaire humaine puis industrie (biocarburants puis pdts de lubrification puis chimie)</t>
  </si>
  <si>
    <t>huile produite</t>
  </si>
  <si>
    <t>rendement</t>
  </si>
  <si>
    <t>source : bilan FAM</t>
  </si>
  <si>
    <t>graines triturées (colza à 70%, tournesol à 19% et soja à 11%)</t>
  </si>
  <si>
    <t>La grande majorité de la graine de colza est donc triturée (rdt moyen de 0,43) pour un usage humain et industriel (dont biocarburant)</t>
  </si>
  <si>
    <t>graine colza</t>
  </si>
  <si>
    <t>import (t eq-huile)</t>
  </si>
  <si>
    <t>export (t eq-huile)</t>
  </si>
  <si>
    <t>(t eq-huile)</t>
  </si>
  <si>
    <t>biocarb</t>
  </si>
  <si>
    <t>indus + semence</t>
  </si>
  <si>
    <t>anim</t>
  </si>
  <si>
    <t>hum+ etc/tot</t>
  </si>
  <si>
    <t>util hum + perte</t>
  </si>
  <si>
    <t>moy 19-23</t>
  </si>
  <si>
    <t>biocarb/tot</t>
  </si>
  <si>
    <t>maïs</t>
  </si>
  <si>
    <t>féverole</t>
  </si>
  <si>
    <t>pois protéagineux</t>
  </si>
  <si>
    <t>féverole et fève</t>
  </si>
  <si>
    <t>lupin doux</t>
  </si>
  <si>
    <t>sorgho</t>
  </si>
  <si>
    <t>triticale</t>
  </si>
  <si>
    <t>???</t>
  </si>
  <si>
    <t>conso hum France</t>
  </si>
  <si>
    <t>graphagri (kg/hab.an)</t>
  </si>
  <si>
    <t>graphagri (t)</t>
  </si>
  <si>
    <t>alim anim</t>
  </si>
  <si>
    <t>industrie</t>
  </si>
  <si>
    <t>conso indus hum</t>
  </si>
  <si>
    <t>(%)</t>
  </si>
  <si>
    <t>hum+ perte/tot</t>
  </si>
  <si>
    <t>indus, semence, biocarb/tot</t>
  </si>
  <si>
    <t>anim / tot</t>
  </si>
  <si>
    <t>part hum /tot</t>
  </si>
  <si>
    <t>tot</t>
  </si>
  <si>
    <t>thèse véto 2007 : 3 % en alim hum / retenu 5 % car usage du sorgho en alim hum se développe</t>
  </si>
  <si>
    <t>pas d'info sur FAM pour l'utilisation hum et indus</t>
  </si>
  <si>
    <t>Recherche google : a priori très peu utilisée en alim hum =&gt; retenu ici 3 %</t>
  </si>
  <si>
    <t>impossible de distinguer indus de biocarb</t>
  </si>
  <si>
    <t>Import tot (huile + graine)</t>
  </si>
  <si>
    <t>Export tot (huile + graine)</t>
  </si>
  <si>
    <t>trituration</t>
  </si>
  <si>
    <t>utilisation intérieure</t>
  </si>
  <si>
    <t>part tritu</t>
  </si>
  <si>
    <t>moy</t>
  </si>
  <si>
    <t>Colza</t>
  </si>
  <si>
    <t>moy 2019-2023</t>
  </si>
  <si>
    <t>graine tournesol</t>
  </si>
  <si>
    <t>67% d'utilisation hum à partir de la conso apparente :</t>
  </si>
  <si>
    <t>- 9% biocarburant, soit 0,67 kg</t>
  </si>
  <si>
    <t>- 4,9 kg pour conso hum (cf graphagri)</t>
  </si>
  <si>
    <t>- 0,2 kg alim anim directe (incorporation détaillée dans FAM et autres)</t>
  </si>
  <si>
    <t>- le reste en industrie, soit 1,76 kg</t>
  </si>
  <si>
    <t>Conso apparente : 7,53 kg/hab.an (moy 2018-2022), dont :</t>
  </si>
  <si>
    <t>Aucun biocarburant à base d'huile de soja ou de palme n'est autorisé en Europe</t>
  </si>
  <si>
    <t>L'extrusion et l'incorporation sont destinés à l'alim anim</t>
  </si>
  <si>
    <t>L'huile issue de la trituration est destinée à l'alim hum, notamment les IAA</t>
  </si>
  <si>
    <t>(féverole, fève</t>
  </si>
  <si>
    <t>lupin doux, haricot sec</t>
  </si>
  <si>
    <t>lentille, pois protéa</t>
  </si>
  <si>
    <t>mélanges de pois</t>
  </si>
  <si>
    <t>pois chiche)</t>
  </si>
  <si>
    <t>prod France pour humain</t>
  </si>
  <si>
    <t>2018-2022</t>
  </si>
  <si>
    <t>Surfaces France 2022</t>
  </si>
  <si>
    <t>Consommation</t>
  </si>
  <si>
    <t>population FR</t>
  </si>
  <si>
    <t>util intérieur hum</t>
  </si>
  <si>
    <t>conso moy</t>
  </si>
  <si>
    <t>Rendement colza en huile (source : Terre Inovia) :</t>
  </si>
  <si>
    <t>Rendement tournesol en huile (source : Terre Inovia) :</t>
  </si>
  <si>
    <t>Rendement soja en huile (source : Terre Inovia) :</t>
  </si>
  <si>
    <t>production hum (t huile)</t>
  </si>
  <si>
    <t>1t viande
bovine</t>
  </si>
  <si>
    <t>1t viande
ov ou cp</t>
  </si>
  <si>
    <t>1t viande
volaille</t>
  </si>
  <si>
    <t>1t viande
porc</t>
  </si>
  <si>
    <t>1t
œuf</t>
  </si>
  <si>
    <t>cereales</t>
  </si>
  <si>
    <t>oleagineux</t>
  </si>
  <si>
    <t>proteagineux</t>
  </si>
  <si>
    <t>bv lait</t>
  </si>
  <si>
    <t>bv viande</t>
  </si>
  <si>
    <t>ov cp</t>
  </si>
  <si>
    <t>porc</t>
  </si>
  <si>
    <t>volaille</t>
  </si>
  <si>
    <t>pondeuse</t>
  </si>
  <si>
    <t>Rdt moyen rég</t>
  </si>
  <si>
    <t>(moyenne quinquennale 2017-2021)</t>
  </si>
  <si>
    <t>semence</t>
  </si>
  <si>
    <t>pertes</t>
  </si>
  <si>
    <t>conso hum</t>
  </si>
  <si>
    <t>usage indus</t>
  </si>
  <si>
    <t>dont biocarb</t>
  </si>
  <si>
    <t>hum + perte</t>
  </si>
  <si>
    <t>conso hum nomin</t>
  </si>
  <si>
    <t>kg/hab.an</t>
  </si>
  <si>
    <t>autres oléagineux</t>
  </si>
  <si>
    <t>pois</t>
  </si>
  <si>
    <t>féverole &amp; fève</t>
  </si>
  <si>
    <t>lupin</t>
  </si>
  <si>
    <t>lin oléagineux</t>
  </si>
  <si>
    <t>lentille</t>
  </si>
  <si>
    <t>haricot sec</t>
  </si>
  <si>
    <t>total légume sec 
hors pois chiche</t>
  </si>
  <si>
    <t>SOURCE : AGRESTE / BILANS ANNUELS D'APPROVISIONNEMENT</t>
  </si>
  <si>
    <t>ok</t>
  </si>
  <si>
    <t>source : Terre Univia (pour bv, po, vol) - extension à l'identique pour lait, oeuf et ov</t>
  </si>
  <si>
    <t>source porc : site La Viande.fr</t>
  </si>
  <si>
    <t>source : Agreste, FAM</t>
  </si>
  <si>
    <t>légumes frais</t>
  </si>
  <si>
    <t>2010-2014</t>
  </si>
  <si>
    <t>Consommation humaine 2010-2030</t>
  </si>
  <si>
    <t>(kg/hab.an et %)</t>
  </si>
  <si>
    <t>(féverole, fève, lupin doux, haricot sec, lentille, pois protéagineux, mélange de pois, pois chiche)</t>
  </si>
  <si>
    <t>graphagri</t>
  </si>
  <si>
    <t>conso. apparente</t>
  </si>
  <si>
    <t>bilan SSP / FAM</t>
  </si>
  <si>
    <t>viandes rouges</t>
  </si>
  <si>
    <t>viandes blanches</t>
  </si>
  <si>
    <t>pavie pêche nectarine</t>
  </si>
  <si>
    <t>dont lait liquide (kg/hab)</t>
  </si>
  <si>
    <t>dont lait liq. (kg eq lait/hab)</t>
  </si>
  <si>
    <t>beurre exclus car il est produit à partir de sous-produits du traitement du lait</t>
  </si>
  <si>
    <t>dont autres pdts (kg/hab)</t>
  </si>
  <si>
    <t>dont autres pdts (kg eq lait/hab)</t>
  </si>
  <si>
    <t>dont fromage (kg/hab)</t>
  </si>
  <si>
    <t>dont fromage (kg eq lait/hab)</t>
  </si>
  <si>
    <t>source : insee</t>
  </si>
  <si>
    <t>Région R84</t>
  </si>
  <si>
    <t>conso SSP (kg/hab)</t>
  </si>
  <si>
    <t>conso (t)</t>
  </si>
  <si>
    <t>auto-appro (ha)</t>
  </si>
  <si>
    <t>conso bilan (kg/hab)</t>
  </si>
  <si>
    <t>auto-appro (t)</t>
  </si>
  <si>
    <t>2030 sc1 /</t>
  </si>
  <si>
    <t>2030 sc2 /</t>
  </si>
  <si>
    <t>mélanges pois</t>
  </si>
  <si>
    <t>Total arable et fruit</t>
  </si>
  <si>
    <t>Usages (ha)</t>
  </si>
  <si>
    <t>humain + pertes</t>
  </si>
  <si>
    <t>indus et semence</t>
  </si>
  <si>
    <t>animal</t>
  </si>
  <si>
    <t>oléagineux</t>
  </si>
  <si>
    <t>protéagineux</t>
  </si>
  <si>
    <t>fourrages</t>
  </si>
  <si>
    <t>prairie permanentes</t>
  </si>
  <si>
    <t>forêts</t>
  </si>
  <si>
    <t>Surfaces régionales</t>
  </si>
  <si>
    <t>2022 (ha)</t>
  </si>
  <si>
    <t>autres</t>
  </si>
  <si>
    <t>vigne</t>
  </si>
  <si>
    <t>jardins familiaux</t>
  </si>
  <si>
    <t>PPAM, pépinière</t>
  </si>
  <si>
    <t>SAU des exploitants</t>
  </si>
  <si>
    <t>SAU hors exploitants</t>
  </si>
  <si>
    <t>landes</t>
  </si>
  <si>
    <t>sols artificialisés</t>
  </si>
  <si>
    <t>prairie</t>
  </si>
  <si>
    <t>2030 sc2</t>
  </si>
  <si>
    <t>Total</t>
  </si>
  <si>
    <t>conso (kg/hab)</t>
  </si>
  <si>
    <t>productions</t>
  </si>
  <si>
    <t>animales</t>
  </si>
  <si>
    <t>et secs</t>
  </si>
  <si>
    <t>équilibre</t>
  </si>
  <si>
    <t>Surfaces nationales 2022</t>
  </si>
  <si>
    <t>SAU nationale</t>
  </si>
  <si>
    <t>poids/œuf</t>
  </si>
  <si>
    <t>prairie permanente</t>
  </si>
  <si>
    <t>SAU exploit</t>
  </si>
  <si>
    <t>Lait</t>
  </si>
  <si>
    <t>nb bv lait montagne R84</t>
  </si>
  <si>
    <t>nb bv lait plaine et autres zones R84</t>
  </si>
  <si>
    <t>nb bv lait plaine et autres zones FR</t>
  </si>
  <si>
    <t>nb bv lait montagne FR</t>
  </si>
  <si>
    <t>part</t>
  </si>
  <si>
    <t>lait produit / VL (litres)</t>
  </si>
  <si>
    <t>concentré pour VL (g/litre lait)</t>
  </si>
  <si>
    <t>plaine spécialisé</t>
  </si>
  <si>
    <t>montagne spécialisé</t>
  </si>
  <si>
    <t>concentré pour VL R84</t>
  </si>
  <si>
    <t>concentré pour VL FR</t>
  </si>
  <si>
    <t>pour 1t lait produit</t>
  </si>
  <si>
    <t>plaine lait viande</t>
  </si>
  <si>
    <t>plaine polycult élevage</t>
  </si>
  <si>
    <t>montagne lait viande</t>
  </si>
  <si>
    <t>INOSYS 2021</t>
  </si>
  <si>
    <t>impossible à déterminer car on ne connaît pas la part des catégories d'élevage en FR ou en R84</t>
  </si>
  <si>
    <t>(hypothèse pour fourrages produits sur terres arables : seul le maïs est concerné, les autres fourrages sont considérés comme produits sur STH)</t>
  </si>
  <si>
    <t>lait produit / ha SFP</t>
  </si>
  <si>
    <t>aucun intérêt à retenir les hectares de maïs pour les élevages non spécialisés car une partie de ce maïs alimente des bv viande, faussant la conso réelle des bv lait</t>
  </si>
  <si>
    <t>maïs fourrage consommé (% surf fourrage)</t>
  </si>
  <si>
    <t>besoin en maïs (ha maïs / t lait produit)</t>
  </si>
  <si>
    <t>Composition moyenne nationale des aliments composés</t>
  </si>
  <si>
    <t>BL
spécialisé
plaine</t>
  </si>
  <si>
    <t>BL
spécialisé
montagne</t>
  </si>
  <si>
    <t>Hypothèse : la composition des aliments composés ne change pas selon les régions et les années</t>
  </si>
  <si>
    <t>RESULTATS</t>
  </si>
  <si>
    <t>POUR ALLER PLUS LOIN :</t>
  </si>
  <si>
    <t>source pour t concentré/t viande vol ou porc ou œuf : Idele ??? Peu fiable mais cohérent avec données associatives défenses environnement</t>
  </si>
  <si>
    <t>Cela correspond assez bien avec mes données initiales</t>
  </si>
  <si>
    <t>Source : Idele ?????</t>
  </si>
  <si>
    <t>Rdt moyen nat</t>
  </si>
  <si>
    <t>2014-2018</t>
  </si>
  <si>
    <t>Auto-approvisionnement (ha)</t>
  </si>
  <si>
    <t>TOTAL REGIONAL (ha)</t>
  </si>
  <si>
    <t>constaté</t>
  </si>
  <si>
    <t>données provisoires</t>
  </si>
  <si>
    <t>2019-2023</t>
  </si>
  <si>
    <t>part des imports dans conso</t>
  </si>
  <si>
    <t>2030 sc1/</t>
  </si>
  <si>
    <t>2030 sc2/</t>
  </si>
  <si>
    <t>(hors p. de t.)</t>
  </si>
  <si>
    <t>2030 sc1</t>
  </si>
  <si>
    <t>taux auto-appro (%)</t>
  </si>
  <si>
    <t>Seules les 10 cases blanches
ci-contre peuvent être ajustées</t>
  </si>
  <si>
    <t>le beurre est exclus car il est produit à partir de sous-produits du traitement du lait</t>
  </si>
  <si>
    <t>féverole, fève, lupin doux, haricot sec, lentille, pois protéagineux, mélange de pois, pois chiche</t>
  </si>
  <si>
    <t>Remarque</t>
  </si>
  <si>
    <t>(kg/hab.an)</t>
  </si>
  <si>
    <t>TOTAL céréales</t>
  </si>
  <si>
    <t>TOTAL légumes frais (hors p. de t.)</t>
  </si>
  <si>
    <t>TOTAL fruits</t>
  </si>
  <si>
    <t>TOTAL viandes (hors œufs)</t>
  </si>
  <si>
    <t>Surfaces France 2022 et usages</t>
  </si>
  <si>
    <t>surface totale (ha)</t>
  </si>
  <si>
    <t>pêche, nectarine, brugnon, pavie</t>
  </si>
  <si>
    <t>brugnon</t>
  </si>
  <si>
    <t>Population</t>
  </si>
  <si>
    <t>surface totale graine (ha)</t>
  </si>
  <si>
    <t>surface humain graine (ha)</t>
  </si>
  <si>
    <t>rendement graine (t/ha)</t>
  </si>
  <si>
    <t>production hum huile (t)</t>
  </si>
  <si>
    <t>conso SSP huile (kg/hab)</t>
  </si>
  <si>
    <t>conso huile (t)</t>
  </si>
  <si>
    <t>auto-appro graine (ha)</t>
  </si>
  <si>
    <t>nb têtes</t>
  </si>
  <si>
    <t>Usages 2021
Surfaces 2022</t>
  </si>
  <si>
    <t>Blé tendre / surface (ha)</t>
  </si>
  <si>
    <t>Blé tendre / rdt (t/ha)</t>
  </si>
  <si>
    <t>Blé tendre / prod (t)</t>
  </si>
  <si>
    <t>Usages en 2021</t>
  </si>
  <si>
    <t>/total</t>
  </si>
  <si>
    <t>Part (%)</t>
  </si>
  <si>
    <t>+ pertes</t>
  </si>
  <si>
    <t>+ semence</t>
  </si>
  <si>
    <t>animale</t>
  </si>
  <si>
    <t>humain</t>
  </si>
  <si>
    <t>alimentation</t>
  </si>
  <si>
    <t>La répartition des usages humain / industrie / animal de 2021 est extrapolée à la période 2010-2030</t>
  </si>
  <si>
    <t>Blé dur / surface (ha)</t>
  </si>
  <si>
    <t>Blé dur / rdt (t/ha)</t>
  </si>
  <si>
    <t>Blé dur / prod (t)</t>
  </si>
  <si>
    <t>Productions animales  (t)</t>
  </si>
  <si>
    <t>Productions végétales</t>
  </si>
  <si>
    <t>Part de production R84 / France métro</t>
  </si>
  <si>
    <t>France métropolitaine</t>
  </si>
  <si>
    <t>part hum
 /tot</t>
  </si>
  <si>
    <t>humain
 + pertes</t>
  </si>
  <si>
    <t>indus et
 semence</t>
  </si>
  <si>
    <t>consommation</t>
  </si>
  <si>
    <t>(hors plants</t>
  </si>
  <si>
    <t>et féculerie)</t>
  </si>
  <si>
    <t>conso graphagri (kg/hab)</t>
  </si>
  <si>
    <t>poids/œuf (kg)</t>
  </si>
  <si>
    <t>Œufs</t>
  </si>
  <si>
    <t>Nb œufs (*1000)</t>
  </si>
  <si>
    <t>Céréales</t>
  </si>
  <si>
    <t>Oléagineux</t>
  </si>
  <si>
    <t>Protéagineux</t>
  </si>
  <si>
    <t>Légumes</t>
  </si>
  <si>
    <t>Fruits</t>
  </si>
  <si>
    <t>Les productions végétales retenues dans cet outil pour la région R84 représentent en 2023 :</t>
  </si>
  <si>
    <t>Auto-approvisionnement régional (ha)</t>
  </si>
  <si>
    <t>Taux d'auto-appro régional (%)</t>
  </si>
  <si>
    <t>Auto-approvisionnement régional 2010-2030 par catégorie de produit</t>
  </si>
  <si>
    <t>Champ : Auverne-Rhône-Alpes</t>
  </si>
  <si>
    <t>Source : Agreste - Projections Draaf Aura / sriset</t>
  </si>
  <si>
    <t>Auto-approvisionnement régional 2010-2030</t>
  </si>
  <si>
    <t>Champ : Auvergne-Rhône-Alpes</t>
  </si>
  <si>
    <t>Taux d'auto-approvisionnement régional 2010-2030 par catégorie de produit</t>
  </si>
  <si>
    <t>Source : Agreste, graph'agri, projection Draaf Aura / sriset</t>
  </si>
  <si>
    <t>Total
productions</t>
  </si>
  <si>
    <t>Part
étudiée</t>
  </si>
  <si>
    <t>Vigne</t>
  </si>
  <si>
    <t>Autres céréales / surface (ha)</t>
  </si>
  <si>
    <t>Autres céréales / rdt (t/ha)</t>
  </si>
  <si>
    <t>Autres céréales / prod (t)</t>
  </si>
  <si>
    <t>Colza / surface (ha)</t>
  </si>
  <si>
    <t>Colza / rdt (t/ha)</t>
  </si>
  <si>
    <t>Colza / prod (t)</t>
  </si>
  <si>
    <t>Tournesol / surface (ha)</t>
  </si>
  <si>
    <t>Tournesol / rdt (t/ha)</t>
  </si>
  <si>
    <t>Tournesol / prod (t)</t>
  </si>
  <si>
    <t>Soja / surface (ha)</t>
  </si>
  <si>
    <t>Soja / rdt (t/ha)</t>
  </si>
  <si>
    <t>Soja / prod (t)</t>
  </si>
  <si>
    <t>Evolution des productions animales régionales 2030 par rapport à la moyenne 2010-2014</t>
  </si>
  <si>
    <t>Moyenne
2010-2014</t>
  </si>
  <si>
    <t>Projection
2030</t>
  </si>
  <si>
    <t>Evolution</t>
  </si>
  <si>
    <t>Production viande bovine</t>
  </si>
  <si>
    <t>Production viande porcine</t>
  </si>
  <si>
    <t>Production viande de volailles</t>
  </si>
  <si>
    <t>Production viande ovine et caprine</t>
  </si>
  <si>
    <t>Production œufs</t>
  </si>
  <si>
    <t>Production lait et produits laitiers</t>
  </si>
  <si>
    <t>Source : Agreste SAA, projection Draaf Aura / sriset</t>
  </si>
  <si>
    <t>(t et %)</t>
  </si>
  <si>
    <t>Viande bovine</t>
  </si>
  <si>
    <t>Viande porcine</t>
  </si>
  <si>
    <t>Viande de volailles</t>
  </si>
  <si>
    <t>Viande ovine et caprine</t>
  </si>
  <si>
    <t>Lait et produits laitiers</t>
  </si>
  <si>
    <t>Légumes secs / surface (ha)</t>
  </si>
  <si>
    <t>Légumes secs / rdt (t/ha)</t>
  </si>
  <si>
    <t>Légumes secs / prod (t)</t>
  </si>
  <si>
    <t>Chou-fleur &amp; brocolis / surface (ha)</t>
  </si>
  <si>
    <t>Chou-fleur &amp; brocolis / rdt (t/ha)</t>
  </si>
  <si>
    <t>Chou-fleur &amp; brocolis / prod (t)</t>
  </si>
  <si>
    <t>Pomme de terre / surface (ha)</t>
  </si>
  <si>
    <t>Pomme de terre / rdt (t/ha)</t>
  </si>
  <si>
    <t>Pomme de terre / prod (t)</t>
  </si>
  <si>
    <t>Courgette / surface (ha)</t>
  </si>
  <si>
    <t>Courgette / rdt (t/ha)</t>
  </si>
  <si>
    <t>Courgette / prod (t)</t>
  </si>
  <si>
    <t>Salade / surface (ha)</t>
  </si>
  <si>
    <t>Salade / rdt (t/ha)</t>
  </si>
  <si>
    <t>Salade / prod (t)</t>
  </si>
  <si>
    <t>Tomate / surface (ha)</t>
  </si>
  <si>
    <t>Tomate / rdt (t/ha)</t>
  </si>
  <si>
    <t>Tomate / prod (t)</t>
  </si>
  <si>
    <t>Poireau / surface (ha)</t>
  </si>
  <si>
    <t>Poireau / rdt (t/ha)</t>
  </si>
  <si>
    <t>Poireau / prod (t)</t>
  </si>
  <si>
    <t>Carotte / surface (ha)</t>
  </si>
  <si>
    <t>Carotte / rdt (t/ha)</t>
  </si>
  <si>
    <t>Carotte / prod (t)</t>
  </si>
  <si>
    <t>Abricot / surface (ha)</t>
  </si>
  <si>
    <t>Abricot / rdt (t/ha)</t>
  </si>
  <si>
    <t>Abricot / prod (t)</t>
  </si>
  <si>
    <t>Pêche, pavie, brugnon, nectarine / surface (ha)</t>
  </si>
  <si>
    <t>Pêche, pavie, brugnon, nectarine / rdt (t/ha)</t>
  </si>
  <si>
    <t>Pêche, pavie, brugnon, nectarine / prod (t)</t>
  </si>
  <si>
    <t>Pomme / surface (ha)</t>
  </si>
  <si>
    <t>Pomme / rdt (t/ha)</t>
  </si>
  <si>
    <t>Pomme / prod (t)</t>
  </si>
  <si>
    <t>Poire / surface (ha)</t>
  </si>
  <si>
    <t>Poire / rdt (t/ha)</t>
  </si>
  <si>
    <t>Poire / prod (t)</t>
  </si>
  <si>
    <t>Légumes frais</t>
  </si>
  <si>
    <t>Pomme de terre</t>
  </si>
  <si>
    <t>Viandes rouges</t>
  </si>
  <si>
    <t>(bovin et ovin)</t>
  </si>
  <si>
    <t>Viandes blanches</t>
  </si>
  <si>
    <t>(porc, volaille)</t>
  </si>
  <si>
    <t>Œuf</t>
  </si>
  <si>
    <t>projection 2030</t>
  </si>
  <si>
    <t>légumes frais hors pomme de terre</t>
  </si>
  <si>
    <t>tendanciel</t>
  </si>
  <si>
    <t>projection</t>
  </si>
  <si>
    <t>Rappel de la projection retenue dans le focus (évolution de consommation
de la projection 2030 par rapport à la la situation tendancielle) :</t>
  </si>
  <si>
    <t>pêche*</t>
  </si>
  <si>
    <t>* pêche, nectarine, brugnon, pavie</t>
  </si>
  <si>
    <t>Consommations (kg/hab.an)</t>
  </si>
  <si>
    <t>huiles végétales et soja</t>
  </si>
  <si>
    <t>Productions étudiées</t>
  </si>
  <si>
    <t>Productions (x1 000 t)</t>
  </si>
  <si>
    <t>Evolutions de consommations de la projection 2030
par rapport à la situation tendancielle 2030</t>
  </si>
  <si>
    <t>2030 tendanciel</t>
  </si>
  <si>
    <t>2030
tendanciel</t>
  </si>
  <si>
    <t>2030
projection</t>
  </si>
  <si>
    <t>2030 projection</t>
  </si>
  <si>
    <t>SAU terre arable +</t>
  </si>
  <si>
    <t>vergers (ha) R84</t>
  </si>
  <si>
    <t xml:space="preserve">part déséquilibre </t>
  </si>
  <si>
    <t>d'auto-appro/SAU</t>
  </si>
  <si>
    <t>SAU arable + vergers</t>
  </si>
  <si>
    <t>Part déséquilibre d'auto-appro /
SAU arable et vergers</t>
  </si>
  <si>
    <t>Figure 1 - Evolution des productions végétales 2030 par rapport à la moyenne 2010-2014</t>
  </si>
  <si>
    <t>Scénario 1</t>
  </si>
  <si>
    <t>Scénario 2</t>
  </si>
  <si>
    <t>Eq surfacique</t>
  </si>
  <si>
    <t>productions végétales</t>
  </si>
  <si>
    <t>Différence entre scénarios 1 et 2</t>
  </si>
  <si>
    <t>productions animales</t>
  </si>
  <si>
    <t>Analyse : Le scénario 2 est plus efficient en surfaces, l'accentuation du déséquilibre pour les productions végétales est largement</t>
  </si>
  <si>
    <t>compensé par le rééquilibrage (relatif) des productions animales</t>
  </si>
  <si>
    <t>légumes frais (y c. pomme de t.)</t>
  </si>
  <si>
    <t>Le rendement global de la culture est appliqué de manière identique à chacun des usages</t>
  </si>
  <si>
    <t>Evolution des hypothèses de productions végétales régionales 2030 par rapport à la moyenne 2010-2014</t>
  </si>
  <si>
    <t>Rappel de la projection 2030 retenue dans le focus (rapporté au scénario tendanciel) :</t>
  </si>
  <si>
    <t>Le lecteur peut faire varier certains paramètres :</t>
  </si>
  <si>
    <t>- dans l'onglet "hypothèse conso" : taux d'évolution de la consommation humaine du scénario 2 (projection en 2030) par rapport au scénario 1 (tendanciel en 2030)</t>
  </si>
  <si>
    <t>- dans l'onglet "hypothèse production" : rendements végétaux et productions animales de la région en 2030</t>
  </si>
  <si>
    <t>Les productions animales et végétales sont donc identiques dans les 2 scénarios 2030</t>
  </si>
  <si>
    <t>Le lecteur peut toutefois faire varier les productions régionales 2030 via l'onglet "hypothèse production"</t>
  </si>
  <si>
    <t>Les résultats sont disponibles dans l'onglet "Résultats"</t>
  </si>
  <si>
    <t>Plusieurs études convergent sur le fait que les tendances de consommation évoluent lentement et rarement sous forme de ruptures brutales.</t>
  </si>
  <si>
    <t>Par ailleurs, l'échéance à 2030 correspond à une projection à 6 ans, délai considéré comme court pour ce type d'indicateur</t>
  </si>
  <si>
    <t>Lorsque des ruptures brutales de modes de consommation apparaîssent, elles correspondent très souvent à des crises (exemple : guerre en Ukraine ou crise sanitaire de l'ESB)</t>
  </si>
  <si>
    <t>sc1</t>
  </si>
  <si>
    <t>Conso 2030</t>
  </si>
  <si>
    <t>sc2</t>
  </si>
  <si>
    <t>Taux protéique</t>
  </si>
  <si>
    <t>g/100g aliment</t>
  </si>
  <si>
    <t>Evol 2030sc1 / 2020</t>
  </si>
  <si>
    <t>Evol SNBC V3 2030/2020</t>
  </si>
  <si>
    <t>Evol 2030 sc2 / 2020</t>
  </si>
  <si>
    <t>??</t>
  </si>
  <si>
    <t>car pas de prise en compte du blé dur</t>
  </si>
  <si>
    <t>passer de + 10 % à + 66 %</t>
  </si>
  <si>
    <t>Conclusion pour nous si l'on voulait présenter le PNNS à 2030 : dans le sc2 / sc1 :</t>
  </si>
  <si>
    <t>passer de - 10 % à - 2 %</t>
  </si>
  <si>
    <t>passer de - 5 à - 7 %</t>
  </si>
  <si>
    <t>passer de + 5 à + 14 %</t>
  </si>
  <si>
    <t>passer de + 5 à + 44 %</t>
  </si>
  <si>
    <t>passer de - 2 % à + 2 %</t>
  </si>
  <si>
    <t>passer de - 10 à + 2 %</t>
  </si>
  <si>
    <t>pas présenté</t>
  </si>
  <si>
    <t>conso protéines sc1</t>
  </si>
  <si>
    <t>conso protéines sc2</t>
  </si>
  <si>
    <t>Total conso</t>
  </si>
  <si>
    <t>source taux protéique : "apports en protéines, conso, qualité, besoin et recommandations", Afssa 2007</t>
  </si>
  <si>
    <t>kg/an</t>
  </si>
  <si>
    <t>part dans apport tot</t>
  </si>
  <si>
    <t>Etude INCA : 100g de protéines / j, soit :</t>
  </si>
  <si>
    <t>GRANDE DIVERGENCE</t>
  </si>
  <si>
    <t>source : SAA</t>
  </si>
  <si>
    <t>Rdt moyen fruits</t>
  </si>
  <si>
    <t>Rdt moyen légumes frais</t>
  </si>
  <si>
    <t>Rdt moyen céréales</t>
  </si>
  <si>
    <t>oléagineux et soja</t>
  </si>
  <si>
    <t>Rdt moyen oléagineux et soja</t>
  </si>
  <si>
    <t>TOTAL oléagineux et soja</t>
  </si>
  <si>
    <t>Oléagineux et soja</t>
  </si>
  <si>
    <t>oléaginaux et soja</t>
  </si>
  <si>
    <t>Besoin moyen alim animale</t>
  </si>
  <si>
    <t>Moyenne concentré (ha) pour viandes</t>
  </si>
  <si>
    <t>Evolution des rendements végétaux et productions animales de la projection 2030 (scénario 2) par rapport au scénario tendanciel 2030 (scénario 1) :</t>
  </si>
  <si>
    <t>Taux</t>
  </si>
  <si>
    <t>/ 2010-2014</t>
  </si>
  <si>
    <t>/ 2019-2023</t>
  </si>
  <si>
    <t>Lecture : chaque français a consommé en moyenne 92,9 kg de blé tendre (sous différentes formes, dont principalement de la farine) en 2010</t>
  </si>
  <si>
    <t>Lecture : chaque français a consommé en moyenne 113,5 kg de céréales (sous différentes formes) en 2010</t>
  </si>
  <si>
    <t>Lecture : les poiriers se développaient en 2010 sur une surface régionale de 1 099 ha, leur rendement moyen a été de 20,8 t/ha, soit une production régionale de 22 859 tonnes, ce qui représente 15,6 % de la production de France métropolitaine</t>
  </si>
  <si>
    <t>Lecture : la viande bovine produite en région en 2010 représentait 147 219 tonnes, soit 9,7 % de la production de France métropolitaine</t>
  </si>
  <si>
    <t>Lecture : le blé tendre a été utilisé en France en 2021 à 37 % pour l'alimentation humaine (y compris les pertes), à 20 % en industrie (y compris la production de semence) et à 44 % pour l'alimentation animale</t>
  </si>
  <si>
    <t>Evolutions surfaciques comparées</t>
  </si>
  <si>
    <t>Lecture : le bilan surfacique d'auto-approvisionnement du scénario 1 représente 45 % de surfaces supplémentaires par rapport à la moyenne 2010-2014</t>
  </si>
  <si>
    <t>Rappel : le taux d'auto-approvisionnement correspond</t>
  </si>
  <si>
    <t>au quotient de la production régionale sur la consommation régionale</t>
  </si>
  <si>
    <t>Lecture : le bilan surfacique d'auto-approvisionnement du blé tendre en 2010 était déficitaire de 27 783 ha. Il était excédentaire de 6 327 ha pour l'abricot, toujours en 2010.</t>
  </si>
  <si>
    <t>Lecture : le taux d'auto-approvisionnement du blé tendre en 2010 était de 75 %. Il manquait donc 25 % de production de blé tendre afin de nourrir (de manière théorique) la totalité de la population régionale avec la production régionale.</t>
  </si>
  <si>
    <r>
      <rPr>
        <b/>
        <sz val="11"/>
        <color rgb="FFFF0000"/>
        <rFont val="Calibri"/>
        <family val="2"/>
        <scheme val="minor"/>
      </rPr>
      <t>Avertissement :</t>
    </r>
    <r>
      <rPr>
        <sz val="11"/>
        <color theme="1"/>
        <rFont val="Calibri"/>
        <family val="2"/>
        <scheme val="minor"/>
      </rPr>
      <t xml:space="preserve"> les ajustements des niveaux de consommation et de production doivent être réalisés avec prudence et restent de la responsabilité de l'utilisateur.</t>
    </r>
  </si>
  <si>
    <r>
      <rPr>
        <b/>
        <sz val="11"/>
        <color rgb="FFFF0000"/>
        <rFont val="Calibri"/>
        <family val="2"/>
        <scheme val="minor"/>
      </rPr>
      <t xml:space="preserve">Nota : </t>
    </r>
    <r>
      <rPr>
        <sz val="11"/>
        <color theme="1"/>
        <rFont val="Calibri"/>
        <family val="2"/>
        <scheme val="minor"/>
      </rPr>
      <t>dans la publication associée, on ne fait évoluer que la consommation entre les 2 scénarios</t>
    </r>
  </si>
  <si>
    <r>
      <rPr>
        <i/>
        <sz val="11"/>
        <color rgb="FFFF0000"/>
        <rFont val="Calibri"/>
        <family val="2"/>
        <scheme val="minor"/>
      </rPr>
      <t xml:space="preserve">non étudié : </t>
    </r>
    <r>
      <rPr>
        <i/>
        <sz val="11"/>
        <color theme="1"/>
        <rFont val="Calibri"/>
        <family val="2"/>
        <scheme val="minor"/>
      </rPr>
      <t>asperge, autres choux, épinard, fraise, concombre, melon, potiron, etc. notamment faute de données sur la conso</t>
    </r>
  </si>
  <si>
    <r>
      <rPr>
        <i/>
        <sz val="11"/>
        <color rgb="FFFF0000"/>
        <rFont val="Calibri"/>
        <family val="2"/>
        <scheme val="minor"/>
      </rPr>
      <t>non étudié :</t>
    </r>
    <r>
      <rPr>
        <i/>
        <sz val="11"/>
        <color theme="1"/>
        <rFont val="Calibri"/>
        <family val="2"/>
        <scheme val="minor"/>
      </rPr>
      <t xml:space="preserve"> cerise, prune, olive, amande, noix, noisette, kiwi, cassis, framboise, etc. pour la même raison</t>
    </r>
  </si>
  <si>
    <t>la vigne (à raisin et à vin) n'est pas étudiée ici, elle est mentionnée pour info</t>
  </si>
  <si>
    <t>tendanciel 2030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</si>
</sst>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4" formatCode="#,##0.0"/>
    <numFmt numFmtId="165" formatCode="0.0"/>
    <numFmt numFmtId="166" formatCode="0.000"/>
    <numFmt numFmtId="167" formatCode="0.0%"/>
    <numFmt numFmtId="168" formatCode="0.0000"/>
    <numFmt numFmtId="169" formatCode="#,##0.000"/>
    <numFmt numFmtId="170" formatCode="_-* #,##0_-;\-* #,##0_-;_-* &quot;-&quot;??_-;_-@_-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9"/>
      <color theme="1"/>
      <name val="Marianne"/>
      <family val="3"/>
    </font>
    <font>
      <b/>
      <sz val="11"/>
      <color rgb="FFFF0000"/>
      <name val="Calibri"/>
      <family val="2"/>
      <scheme val="minor"/>
    </font>
    <font>
      <i/>
      <sz val="11"/>
      <color rgb="FFFF0000"/>
      <name val="Calibri"/>
      <family val="2"/>
      <scheme val="minor"/>
    </font>
    <font>
      <b/>
      <i/>
      <sz val="11"/>
      <color theme="5"/>
      <name val="Calibri"/>
      <family val="2"/>
      <scheme val="minor"/>
    </font>
    <font>
      <b/>
      <i/>
      <sz val="11"/>
      <color theme="5" tint="-0.249977111117893"/>
      <name val="Calibri"/>
      <family val="2"/>
      <scheme val="minor"/>
    </font>
    <font>
      <sz val="11"/>
      <color rgb="FFFF000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633">
    <xf numFmtId="0" fontId="0" fillId="0" borderId="0" xfId="0"/>
    <xf numFmtId="0" fontId="0" fillId="0" borderId="0" xfId="0" applyAlignment="1">
      <alignment horizontal="center"/>
    </xf>
    <xf numFmtId="0" fontId="0" fillId="2" borderId="0" xfId="0" applyFill="1" applyAlignment="1">
      <alignment horizontal="center"/>
    </xf>
    <xf numFmtId="3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3" fontId="0" fillId="0" borderId="1" xfId="0" applyNumberFormat="1" applyFill="1" applyBorder="1" applyAlignment="1">
      <alignment horizontal="center"/>
    </xf>
    <xf numFmtId="3" fontId="1" fillId="0" borderId="0" xfId="0" applyNumberFormat="1" applyFont="1" applyAlignment="1">
      <alignment horizontal="center"/>
    </xf>
    <xf numFmtId="3" fontId="0" fillId="0" borderId="0" xfId="0" applyNumberFormat="1"/>
    <xf numFmtId="164" fontId="0" fillId="0" borderId="0" xfId="0" applyNumberFormat="1" applyFont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3" fontId="0" fillId="2" borderId="2" xfId="0" applyNumberFormat="1" applyFill="1" applyBorder="1" applyAlignment="1">
      <alignment horizontal="center"/>
    </xf>
    <xf numFmtId="3" fontId="0" fillId="2" borderId="3" xfId="0" applyNumberFormat="1" applyFill="1" applyBorder="1" applyAlignment="1">
      <alignment horizontal="center"/>
    </xf>
    <xf numFmtId="164" fontId="0" fillId="2" borderId="4" xfId="0" applyNumberFormat="1" applyFill="1" applyBorder="1" applyAlignment="1">
      <alignment horizontal="center"/>
    </xf>
    <xf numFmtId="164" fontId="0" fillId="2" borderId="5" xfId="0" applyNumberFormat="1" applyFill="1" applyBorder="1" applyAlignment="1">
      <alignment horizontal="center"/>
    </xf>
    <xf numFmtId="3" fontId="0" fillId="2" borderId="4" xfId="0" applyNumberFormat="1" applyFill="1" applyBorder="1" applyAlignment="1">
      <alignment horizontal="center"/>
    </xf>
    <xf numFmtId="3" fontId="0" fillId="2" borderId="5" xfId="0" applyNumberFormat="1" applyFill="1" applyBorder="1" applyAlignment="1">
      <alignment horizontal="center"/>
    </xf>
    <xf numFmtId="3" fontId="1" fillId="2" borderId="6" xfId="0" applyNumberFormat="1" applyFont="1" applyFill="1" applyBorder="1" applyAlignment="1">
      <alignment horizontal="center"/>
    </xf>
    <xf numFmtId="3" fontId="1" fillId="2" borderId="7" xfId="0" applyNumberFormat="1" applyFont="1" applyFill="1" applyBorder="1" applyAlignment="1">
      <alignment horizontal="center"/>
    </xf>
    <xf numFmtId="164" fontId="0" fillId="2" borderId="4" xfId="0" applyNumberFormat="1" applyFont="1" applyFill="1" applyBorder="1" applyAlignment="1">
      <alignment horizontal="center"/>
    </xf>
    <xf numFmtId="164" fontId="0" fillId="2" borderId="5" xfId="0" applyNumberFormat="1" applyFont="1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4" xfId="0" applyFill="1" applyBorder="1"/>
    <xf numFmtId="0" fontId="0" fillId="2" borderId="6" xfId="0" applyFill="1" applyBorder="1"/>
    <xf numFmtId="0" fontId="0" fillId="0" borderId="2" xfId="0" applyBorder="1"/>
    <xf numFmtId="0" fontId="0" fillId="0" borderId="13" xfId="0" applyBorder="1"/>
    <xf numFmtId="0" fontId="0" fillId="0" borderId="4" xfId="0" applyBorder="1"/>
    <xf numFmtId="0" fontId="0" fillId="0" borderId="0" xfId="0" applyBorder="1"/>
    <xf numFmtId="0" fontId="0" fillId="0" borderId="6" xfId="0" applyBorder="1"/>
    <xf numFmtId="0" fontId="0" fillId="0" borderId="14" xfId="0" applyBorder="1"/>
    <xf numFmtId="2" fontId="0" fillId="0" borderId="14" xfId="0" applyNumberFormat="1" applyBorder="1"/>
    <xf numFmtId="2" fontId="0" fillId="0" borderId="7" xfId="0" applyNumberFormat="1" applyBorder="1"/>
    <xf numFmtId="3" fontId="0" fillId="0" borderId="13" xfId="0" applyNumberFormat="1" applyBorder="1"/>
    <xf numFmtId="3" fontId="0" fillId="0" borderId="3" xfId="0" applyNumberFormat="1" applyBorder="1"/>
    <xf numFmtId="3" fontId="0" fillId="0" borderId="0" xfId="0" applyNumberFormat="1" applyBorder="1"/>
    <xf numFmtId="3" fontId="0" fillId="0" borderId="5" xfId="0" applyNumberFormat="1" applyBorder="1"/>
    <xf numFmtId="3" fontId="0" fillId="0" borderId="2" xfId="0" applyNumberFormat="1" applyBorder="1"/>
    <xf numFmtId="3" fontId="0" fillId="0" borderId="4" xfId="0" applyNumberFormat="1" applyBorder="1"/>
    <xf numFmtId="3" fontId="0" fillId="0" borderId="0" xfId="0" applyNumberFormat="1" applyFill="1" applyBorder="1"/>
    <xf numFmtId="0" fontId="0" fillId="5" borderId="14" xfId="0" applyFill="1" applyBorder="1"/>
    <xf numFmtId="0" fontId="0" fillId="6" borderId="14" xfId="0" applyFill="1" applyBorder="1"/>
    <xf numFmtId="0" fontId="0" fillId="0" borderId="1" xfId="0" applyNumberFormat="1" applyFont="1" applyFill="1" applyBorder="1" applyAlignment="1" applyProtection="1">
      <alignment horizontal="center" wrapText="1"/>
    </xf>
    <xf numFmtId="0" fontId="0" fillId="0" borderId="1" xfId="0" applyNumberFormat="1" applyFont="1" applyFill="1" applyBorder="1" applyAlignment="1">
      <alignment horizontal="center" vertical="center" wrapText="1"/>
    </xf>
    <xf numFmtId="0" fontId="0" fillId="0" borderId="1" xfId="0" applyNumberFormat="1" applyFont="1" applyFill="1" applyBorder="1" applyAlignment="1" applyProtection="1">
      <alignment horizontal="center"/>
    </xf>
    <xf numFmtId="0" fontId="0" fillId="2" borderId="1" xfId="0" applyNumberFormat="1" applyFont="1" applyFill="1" applyBorder="1" applyAlignment="1" applyProtection="1">
      <alignment horizontal="center"/>
    </xf>
    <xf numFmtId="3" fontId="0" fillId="2" borderId="0" xfId="0" applyNumberFormat="1" applyFill="1" applyBorder="1" applyAlignment="1">
      <alignment horizontal="center"/>
    </xf>
    <xf numFmtId="164" fontId="0" fillId="2" borderId="0" xfId="0" applyNumberFormat="1" applyFill="1" applyBorder="1" applyAlignment="1">
      <alignment horizontal="center"/>
    </xf>
    <xf numFmtId="164" fontId="0" fillId="2" borderId="0" xfId="0" applyNumberFormat="1" applyFont="1" applyFill="1" applyBorder="1" applyAlignment="1">
      <alignment horizontal="center"/>
    </xf>
    <xf numFmtId="3" fontId="0" fillId="0" borderId="2" xfId="0" applyNumberFormat="1" applyBorder="1" applyAlignment="1">
      <alignment horizontal="center"/>
    </xf>
    <xf numFmtId="3" fontId="0" fillId="0" borderId="13" xfId="0" applyNumberFormat="1" applyBorder="1" applyAlignment="1">
      <alignment horizontal="center"/>
    </xf>
    <xf numFmtId="3" fontId="0" fillId="0" borderId="4" xfId="0" applyNumberFormat="1" applyBorder="1" applyAlignment="1">
      <alignment horizontal="center"/>
    </xf>
    <xf numFmtId="3" fontId="0" fillId="2" borderId="0" xfId="0" applyNumberFormat="1" applyFont="1" applyFill="1" applyBorder="1" applyAlignment="1">
      <alignment horizontal="center"/>
    </xf>
    <xf numFmtId="3" fontId="0" fillId="2" borderId="13" xfId="0" applyNumberFormat="1" applyFill="1" applyBorder="1" applyAlignment="1">
      <alignment horizontal="center"/>
    </xf>
    <xf numFmtId="0" fontId="0" fillId="0" borderId="7" xfId="0" applyBorder="1"/>
    <xf numFmtId="164" fontId="0" fillId="0" borderId="4" xfId="0" applyNumberFormat="1" applyFill="1" applyBorder="1" applyAlignment="1">
      <alignment horizontal="center"/>
    </xf>
    <xf numFmtId="164" fontId="0" fillId="0" borderId="0" xfId="0" applyNumberFormat="1" applyFill="1" applyBorder="1" applyAlignment="1">
      <alignment horizontal="center"/>
    </xf>
    <xf numFmtId="3" fontId="0" fillId="2" borderId="4" xfId="0" applyNumberFormat="1" applyFont="1" applyFill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0" fontId="0" fillId="2" borderId="0" xfId="0" applyFill="1"/>
    <xf numFmtId="0" fontId="0" fillId="0" borderId="1" xfId="0" applyBorder="1"/>
    <xf numFmtId="0" fontId="0" fillId="0" borderId="4" xfId="0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/>
    </xf>
    <xf numFmtId="0" fontId="0" fillId="2" borderId="1" xfId="0" applyFill="1" applyBorder="1"/>
    <xf numFmtId="166" fontId="0" fillId="2" borderId="1" xfId="0" applyNumberFormat="1" applyFill="1" applyBorder="1"/>
    <xf numFmtId="164" fontId="0" fillId="0" borderId="4" xfId="0" applyNumberFormat="1" applyBorder="1" applyAlignment="1">
      <alignment horizontal="center"/>
    </xf>
    <xf numFmtId="164" fontId="0" fillId="0" borderId="0" xfId="0" applyNumberFormat="1" applyBorder="1" applyAlignment="1">
      <alignment horizontal="center"/>
    </xf>
    <xf numFmtId="164" fontId="0" fillId="0" borderId="4" xfId="0" applyNumberFormat="1" applyFont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3" fontId="0" fillId="0" borderId="10" xfId="0" applyNumberFormat="1" applyFont="1" applyBorder="1" applyAlignment="1">
      <alignment horizontal="center"/>
    </xf>
    <xf numFmtId="9" fontId="0" fillId="2" borderId="0" xfId="0" applyNumberFormat="1" applyFill="1" applyAlignment="1">
      <alignment horizontal="center"/>
    </xf>
    <xf numFmtId="3" fontId="0" fillId="0" borderId="0" xfId="0" applyNumberFormat="1" applyFill="1" applyBorder="1" applyAlignment="1">
      <alignment horizontal="center"/>
    </xf>
    <xf numFmtId="3" fontId="0" fillId="0" borderId="0" xfId="0" applyNumberFormat="1" applyBorder="1" applyAlignment="1">
      <alignment horizontal="center"/>
    </xf>
    <xf numFmtId="3" fontId="0" fillId="0" borderId="1" xfId="0" applyNumberFormat="1" applyBorder="1" applyAlignment="1">
      <alignment horizontal="center"/>
    </xf>
    <xf numFmtId="1" fontId="0" fillId="0" borderId="0" xfId="0" applyNumberFormat="1"/>
    <xf numFmtId="3" fontId="0" fillId="7" borderId="0" xfId="0" applyNumberFormat="1" applyFill="1" applyBorder="1"/>
    <xf numFmtId="0" fontId="0" fillId="0" borderId="1" xfId="0" applyBorder="1" applyAlignment="1">
      <alignment horizontal="center"/>
    </xf>
    <xf numFmtId="0" fontId="0" fillId="0" borderId="0" xfId="0" applyAlignment="1">
      <alignment horizontal="left"/>
    </xf>
    <xf numFmtId="9" fontId="0" fillId="0" borderId="1" xfId="0" quotePrefix="1" applyNumberFormat="1" applyBorder="1" applyAlignment="1">
      <alignment horizontal="center"/>
    </xf>
    <xf numFmtId="0" fontId="0" fillId="0" borderId="1" xfId="0" quotePrefix="1" applyBorder="1" applyAlignment="1">
      <alignment horizontal="center"/>
    </xf>
    <xf numFmtId="0" fontId="0" fillId="0" borderId="0" xfId="0" applyBorder="1" applyAlignment="1">
      <alignment horizontal="center"/>
    </xf>
    <xf numFmtId="165" fontId="0" fillId="0" borderId="0" xfId="0" applyNumberFormat="1" applyBorder="1" applyAlignment="1">
      <alignment horizontal="center"/>
    </xf>
    <xf numFmtId="3" fontId="0" fillId="0" borderId="0" xfId="0" applyNumberFormat="1" applyFill="1" applyBorder="1" applyAlignment="1">
      <alignment horizontal="left"/>
    </xf>
    <xf numFmtId="0" fontId="0" fillId="0" borderId="0" xfId="0" applyFill="1" applyAlignment="1">
      <alignment horizontal="left"/>
    </xf>
    <xf numFmtId="165" fontId="0" fillId="0" borderId="0" xfId="0" applyNumberFormat="1" applyFill="1" applyBorder="1" applyAlignment="1">
      <alignment horizontal="center"/>
    </xf>
    <xf numFmtId="3" fontId="0" fillId="0" borderId="4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/>
    <xf numFmtId="3" fontId="0" fillId="2" borderId="10" xfId="0" applyNumberFormat="1" applyFill="1" applyBorder="1" applyAlignment="1">
      <alignment horizontal="center"/>
    </xf>
    <xf numFmtId="4" fontId="0" fillId="2" borderId="0" xfId="0" applyNumberFormat="1" applyFill="1" applyBorder="1" applyAlignment="1">
      <alignment horizontal="center"/>
    </xf>
    <xf numFmtId="2" fontId="0" fillId="2" borderId="14" xfId="0" applyNumberFormat="1" applyFill="1" applyBorder="1"/>
    <xf numFmtId="2" fontId="0" fillId="2" borderId="7" xfId="0" applyNumberFormat="1" applyFill="1" applyBorder="1"/>
    <xf numFmtId="3" fontId="0" fillId="2" borderId="2" xfId="0" applyNumberFormat="1" applyFill="1" applyBorder="1"/>
    <xf numFmtId="3" fontId="0" fillId="2" borderId="13" xfId="0" applyNumberFormat="1" applyFill="1" applyBorder="1"/>
    <xf numFmtId="3" fontId="0" fillId="2" borderId="4" xfId="0" applyNumberFormat="1" applyFill="1" applyBorder="1"/>
    <xf numFmtId="3" fontId="0" fillId="2" borderId="0" xfId="0" applyNumberFormat="1" applyFill="1" applyBorder="1"/>
    <xf numFmtId="0" fontId="0" fillId="2" borderId="14" xfId="0" applyFill="1" applyBorder="1"/>
    <xf numFmtId="167" fontId="0" fillId="2" borderId="4" xfId="1" applyNumberFormat="1" applyFont="1" applyFill="1" applyBorder="1" applyAlignment="1">
      <alignment horizontal="center"/>
    </xf>
    <xf numFmtId="4" fontId="0" fillId="0" borderId="0" xfId="0" applyNumberFormat="1" applyBorder="1" applyAlignment="1">
      <alignment horizontal="center"/>
    </xf>
    <xf numFmtId="167" fontId="0" fillId="2" borderId="2" xfId="1" applyNumberFormat="1" applyFont="1" applyFill="1" applyBorder="1" applyAlignment="1">
      <alignment horizontal="center"/>
    </xf>
    <xf numFmtId="9" fontId="1" fillId="0" borderId="4" xfId="1" applyFont="1" applyFill="1" applyBorder="1" applyAlignment="1">
      <alignment horizontal="center"/>
    </xf>
    <xf numFmtId="9" fontId="0" fillId="2" borderId="2" xfId="1" applyFont="1" applyFill="1" applyBorder="1" applyAlignment="1">
      <alignment horizontal="center"/>
    </xf>
    <xf numFmtId="167" fontId="0" fillId="2" borderId="9" xfId="1" applyNumberFormat="1" applyFont="1" applyFill="1" applyBorder="1" applyAlignment="1">
      <alignment horizontal="center"/>
    </xf>
    <xf numFmtId="3" fontId="0" fillId="2" borderId="1" xfId="0" applyNumberFormat="1" applyFill="1" applyBorder="1" applyAlignment="1">
      <alignment horizontal="left"/>
    </xf>
    <xf numFmtId="165" fontId="0" fillId="2" borderId="1" xfId="0" applyNumberFormat="1" applyFill="1" applyBorder="1" applyAlignment="1">
      <alignment horizontal="center"/>
    </xf>
    <xf numFmtId="3" fontId="0" fillId="2" borderId="1" xfId="0" applyNumberFormat="1" applyFill="1" applyBorder="1" applyAlignment="1">
      <alignment horizontal="center"/>
    </xf>
    <xf numFmtId="3" fontId="1" fillId="2" borderId="1" xfId="0" applyNumberFormat="1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3" fillId="0" borderId="0" xfId="0" applyFont="1"/>
    <xf numFmtId="9" fontId="0" fillId="2" borderId="1" xfId="1" applyFont="1" applyFill="1" applyBorder="1" applyAlignment="1">
      <alignment horizontal="center"/>
    </xf>
    <xf numFmtId="0" fontId="0" fillId="2" borderId="1" xfId="0" applyFill="1" applyBorder="1" applyAlignment="1">
      <alignment horizontal="left"/>
    </xf>
    <xf numFmtId="0" fontId="0" fillId="2" borderId="8" xfId="0" applyFill="1" applyBorder="1"/>
    <xf numFmtId="9" fontId="0" fillId="0" borderId="0" xfId="1" applyFont="1"/>
    <xf numFmtId="9" fontId="0" fillId="0" borderId="0" xfId="1" applyFont="1" applyAlignment="1">
      <alignment horizontal="center"/>
    </xf>
    <xf numFmtId="1" fontId="0" fillId="2" borderId="1" xfId="0" applyNumberFormat="1" applyFill="1" applyBorder="1" applyAlignment="1">
      <alignment horizontal="center"/>
    </xf>
    <xf numFmtId="0" fontId="0" fillId="0" borderId="11" xfId="0" applyNumberFormat="1" applyFont="1" applyFill="1" applyBorder="1" applyAlignment="1" applyProtection="1">
      <alignment horizontal="center"/>
    </xf>
    <xf numFmtId="1" fontId="0" fillId="2" borderId="8" xfId="0" applyNumberFormat="1" applyFill="1" applyBorder="1" applyAlignment="1">
      <alignment horizontal="center"/>
    </xf>
    <xf numFmtId="1" fontId="0" fillId="0" borderId="0" xfId="0" applyNumberFormat="1" applyFill="1" applyBorder="1" applyAlignment="1">
      <alignment horizontal="center"/>
    </xf>
    <xf numFmtId="3" fontId="1" fillId="0" borderId="0" xfId="0" applyNumberFormat="1" applyFont="1" applyFill="1" applyBorder="1" applyAlignment="1">
      <alignment horizontal="center"/>
    </xf>
    <xf numFmtId="9" fontId="0" fillId="0" borderId="0" xfId="0" applyNumberFormat="1" applyFill="1" applyBorder="1" applyAlignment="1">
      <alignment horizontal="center"/>
    </xf>
    <xf numFmtId="4" fontId="0" fillId="0" borderId="0" xfId="0" applyNumberFormat="1" applyFill="1" applyBorder="1" applyAlignment="1">
      <alignment horizontal="center"/>
    </xf>
    <xf numFmtId="3" fontId="0" fillId="0" borderId="0" xfId="0" applyNumberFormat="1" applyFont="1" applyFill="1" applyBorder="1" applyAlignment="1">
      <alignment horizontal="center"/>
    </xf>
    <xf numFmtId="0" fontId="0" fillId="0" borderId="15" xfId="0" applyBorder="1"/>
    <xf numFmtId="0" fontId="0" fillId="0" borderId="3" xfId="0" applyBorder="1"/>
    <xf numFmtId="0" fontId="0" fillId="0" borderId="5" xfId="0" applyBorder="1"/>
    <xf numFmtId="166" fontId="0" fillId="0" borderId="0" xfId="0" applyNumberFormat="1" applyBorder="1"/>
    <xf numFmtId="0" fontId="1" fillId="5" borderId="15" xfId="0" applyFont="1" applyFill="1" applyBorder="1"/>
    <xf numFmtId="167" fontId="1" fillId="5" borderId="1" xfId="1" applyNumberFormat="1" applyFont="1" applyFill="1" applyBorder="1" applyAlignment="1">
      <alignment horizontal="center"/>
    </xf>
    <xf numFmtId="3" fontId="0" fillId="2" borderId="0" xfId="0" applyNumberFormat="1" applyFill="1" applyAlignment="1">
      <alignment horizontal="center"/>
    </xf>
    <xf numFmtId="0" fontId="1" fillId="0" borderId="0" xfId="0" applyFont="1" applyAlignment="1">
      <alignment horizontal="center"/>
    </xf>
    <xf numFmtId="3" fontId="0" fillId="0" borderId="1" xfId="0" applyNumberFormat="1" applyFont="1" applyBorder="1" applyAlignment="1">
      <alignment horizontal="center"/>
    </xf>
    <xf numFmtId="3" fontId="0" fillId="0" borderId="1" xfId="0" applyNumberFormat="1" applyFont="1" applyFill="1" applyBorder="1" applyAlignment="1">
      <alignment horizontal="center"/>
    </xf>
    <xf numFmtId="3" fontId="0" fillId="2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167" fontId="0" fillId="0" borderId="1" xfId="1" applyNumberFormat="1" applyFont="1" applyBorder="1" applyAlignment="1">
      <alignment horizontal="center"/>
    </xf>
    <xf numFmtId="167" fontId="0" fillId="2" borderId="1" xfId="1" applyNumberFormat="1" applyFont="1" applyFill="1" applyBorder="1" applyAlignment="1">
      <alignment horizontal="center"/>
    </xf>
    <xf numFmtId="167" fontId="2" fillId="2" borderId="1" xfId="1" applyNumberFormat="1" applyFont="1" applyFill="1" applyBorder="1" applyAlignment="1">
      <alignment horizontal="center"/>
    </xf>
    <xf numFmtId="9" fontId="0" fillId="0" borderId="1" xfId="1" applyFont="1" applyBorder="1" applyAlignment="1">
      <alignment horizontal="center"/>
    </xf>
    <xf numFmtId="9" fontId="0" fillId="0" borderId="0" xfId="1" applyFont="1" applyBorder="1" applyAlignment="1">
      <alignment horizontal="center"/>
    </xf>
    <xf numFmtId="0" fontId="0" fillId="0" borderId="0" xfId="0" applyFill="1" applyBorder="1" applyAlignment="1">
      <alignment horizontal="left"/>
    </xf>
    <xf numFmtId="0" fontId="0" fillId="0" borderId="0" xfId="0" quotePrefix="1" applyAlignment="1">
      <alignment horizontal="left"/>
    </xf>
    <xf numFmtId="3" fontId="1" fillId="2" borderId="2" xfId="0" applyNumberFormat="1" applyFont="1" applyFill="1" applyBorder="1" applyAlignment="1">
      <alignment horizontal="center"/>
    </xf>
    <xf numFmtId="164" fontId="0" fillId="2" borderId="4" xfId="0" applyNumberFormat="1" applyFill="1" applyBorder="1" applyAlignment="1">
      <alignment horizontal="left"/>
    </xf>
    <xf numFmtId="3" fontId="0" fillId="2" borderId="6" xfId="0" applyNumberFormat="1" applyFont="1" applyFill="1" applyBorder="1" applyAlignment="1">
      <alignment horizontal="left"/>
    </xf>
    <xf numFmtId="3" fontId="0" fillId="2" borderId="0" xfId="0" applyNumberFormat="1" applyFill="1" applyAlignment="1">
      <alignment horizontal="left"/>
    </xf>
    <xf numFmtId="3" fontId="0" fillId="0" borderId="0" xfId="0" applyNumberFormat="1" applyAlignment="1">
      <alignment horizontal="left"/>
    </xf>
    <xf numFmtId="3" fontId="0" fillId="2" borderId="4" xfId="0" applyNumberFormat="1" applyFill="1" applyBorder="1" applyAlignment="1">
      <alignment horizontal="left"/>
    </xf>
    <xf numFmtId="164" fontId="0" fillId="2" borderId="0" xfId="0" applyNumberFormat="1" applyFill="1" applyBorder="1" applyAlignment="1">
      <alignment horizontal="left"/>
    </xf>
    <xf numFmtId="3" fontId="0" fillId="2" borderId="0" xfId="0" applyNumberFormat="1" applyFont="1" applyFill="1" applyBorder="1" applyAlignment="1">
      <alignment horizontal="left"/>
    </xf>
    <xf numFmtId="0" fontId="0" fillId="0" borderId="1" xfId="0" applyFill="1" applyBorder="1"/>
    <xf numFmtId="0" fontId="0" fillId="2" borderId="0" xfId="0" applyFill="1" applyAlignment="1">
      <alignment wrapText="1"/>
    </xf>
    <xf numFmtId="0" fontId="0" fillId="2" borderId="1" xfId="0" applyFill="1" applyBorder="1" applyAlignment="1">
      <alignment horizontal="center" wrapText="1"/>
    </xf>
    <xf numFmtId="3" fontId="1" fillId="0" borderId="3" xfId="0" applyNumberFormat="1" applyFont="1" applyFill="1" applyBorder="1" applyAlignment="1">
      <alignment horizontal="center"/>
    </xf>
    <xf numFmtId="3" fontId="1" fillId="0" borderId="5" xfId="0" applyNumberFormat="1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165" fontId="0" fillId="0" borderId="0" xfId="0" applyNumberForma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0" fontId="0" fillId="2" borderId="0" xfId="0" applyFill="1" applyBorder="1"/>
    <xf numFmtId="167" fontId="3" fillId="0" borderId="1" xfId="1" applyNumberFormat="1" applyFont="1" applyBorder="1" applyAlignment="1">
      <alignment horizontal="center"/>
    </xf>
    <xf numFmtId="167" fontId="1" fillId="2" borderId="0" xfId="0" applyNumberFormat="1" applyFont="1" applyFill="1" applyAlignment="1">
      <alignment horizontal="center"/>
    </xf>
    <xf numFmtId="0" fontId="0" fillId="2" borderId="9" xfId="0" applyFill="1" applyBorder="1"/>
    <xf numFmtId="0" fontId="0" fillId="2" borderId="9" xfId="0" applyFill="1" applyBorder="1" applyAlignment="1">
      <alignment horizontal="left"/>
    </xf>
    <xf numFmtId="0" fontId="0" fillId="2" borderId="1" xfId="0" applyFont="1" applyFill="1" applyBorder="1" applyAlignment="1">
      <alignment wrapText="1"/>
    </xf>
    <xf numFmtId="1" fontId="0" fillId="0" borderId="0" xfId="0" applyNumberFormat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0" fillId="2" borderId="13" xfId="0" applyFill="1" applyBorder="1" applyAlignment="1">
      <alignment horizontal="center" wrapText="1"/>
    </xf>
    <xf numFmtId="168" fontId="1" fillId="2" borderId="0" xfId="0" applyNumberFormat="1" applyFont="1" applyFill="1" applyBorder="1"/>
    <xf numFmtId="2" fontId="0" fillId="2" borderId="0" xfId="0" applyNumberFormat="1" applyFill="1" applyBorder="1"/>
    <xf numFmtId="0" fontId="0" fillId="2" borderId="2" xfId="0" applyFill="1" applyBorder="1"/>
    <xf numFmtId="0" fontId="0" fillId="2" borderId="13" xfId="0" applyFill="1" applyBorder="1"/>
    <xf numFmtId="0" fontId="0" fillId="2" borderId="3" xfId="0" applyFill="1" applyBorder="1"/>
    <xf numFmtId="0" fontId="0" fillId="2" borderId="5" xfId="0" applyFill="1" applyBorder="1"/>
    <xf numFmtId="0" fontId="0" fillId="2" borderId="7" xfId="0" applyFill="1" applyBorder="1"/>
    <xf numFmtId="0" fontId="0" fillId="5" borderId="0" xfId="0" applyFill="1" applyBorder="1"/>
    <xf numFmtId="2" fontId="0" fillId="2" borderId="0" xfId="0" applyNumberFormat="1" applyFill="1" applyBorder="1" applyAlignment="1">
      <alignment horizontal="center"/>
    </xf>
    <xf numFmtId="2" fontId="0" fillId="2" borderId="5" xfId="0" applyNumberFormat="1" applyFill="1" applyBorder="1" applyAlignment="1">
      <alignment horizontal="center"/>
    </xf>
    <xf numFmtId="169" fontId="0" fillId="0" borderId="0" xfId="0" applyNumberFormat="1" applyBorder="1" applyAlignment="1">
      <alignment horizontal="center"/>
    </xf>
    <xf numFmtId="3" fontId="0" fillId="2" borderId="1" xfId="0" applyNumberFormat="1" applyFill="1" applyBorder="1"/>
    <xf numFmtId="3" fontId="1" fillId="2" borderId="0" xfId="0" applyNumberFormat="1" applyFont="1" applyFill="1" applyBorder="1" applyAlignment="1">
      <alignment horizontal="center"/>
    </xf>
    <xf numFmtId="0" fontId="0" fillId="0" borderId="0" xfId="0" applyFill="1"/>
    <xf numFmtId="0" fontId="0" fillId="0" borderId="0" xfId="0" applyFill="1" applyAlignment="1">
      <alignment horizontal="center"/>
    </xf>
    <xf numFmtId="167" fontId="2" fillId="0" borderId="0" xfId="1" applyNumberFormat="1" applyFont="1" applyFill="1" applyBorder="1" applyAlignment="1">
      <alignment horizontal="center"/>
    </xf>
    <xf numFmtId="4" fontId="3" fillId="0" borderId="0" xfId="0" applyNumberFormat="1" applyFont="1" applyBorder="1" applyAlignment="1">
      <alignment horizontal="center"/>
    </xf>
    <xf numFmtId="9" fontId="0" fillId="0" borderId="0" xfId="1" applyFont="1" applyFill="1" applyBorder="1" applyAlignment="1">
      <alignment horizontal="center"/>
    </xf>
    <xf numFmtId="165" fontId="0" fillId="0" borderId="1" xfId="0" applyNumberFormat="1" applyFill="1" applyBorder="1" applyAlignment="1">
      <alignment horizontal="center"/>
    </xf>
    <xf numFmtId="165" fontId="0" fillId="0" borderId="1" xfId="0" applyNumberFormat="1" applyBorder="1" applyAlignment="1">
      <alignment horizontal="center"/>
    </xf>
    <xf numFmtId="165" fontId="0" fillId="2" borderId="9" xfId="0" applyNumberFormat="1" applyFill="1" applyBorder="1" applyAlignment="1">
      <alignment horizontal="center"/>
    </xf>
    <xf numFmtId="165" fontId="0" fillId="2" borderId="0" xfId="0" applyNumberFormat="1" applyFill="1" applyBorder="1" applyAlignment="1">
      <alignment horizontal="center"/>
    </xf>
    <xf numFmtId="9" fontId="0" fillId="0" borderId="1" xfId="1" quotePrefix="1" applyFont="1" applyBorder="1" applyAlignment="1">
      <alignment horizontal="center"/>
    </xf>
    <xf numFmtId="0" fontId="3" fillId="2" borderId="10" xfId="0" applyFont="1" applyFill="1" applyBorder="1" applyAlignment="1">
      <alignment horizontal="right"/>
    </xf>
    <xf numFmtId="165" fontId="3" fillId="0" borderId="9" xfId="0" applyNumberFormat="1" applyFont="1" applyBorder="1" applyAlignment="1">
      <alignment horizontal="center"/>
    </xf>
    <xf numFmtId="165" fontId="3" fillId="0" borderId="1" xfId="0" applyNumberFormat="1" applyFont="1" applyBorder="1" applyAlignment="1">
      <alignment horizontal="center"/>
    </xf>
    <xf numFmtId="165" fontId="3" fillId="0" borderId="1" xfId="0" applyNumberFormat="1" applyFont="1" applyFill="1" applyBorder="1" applyAlignment="1">
      <alignment horizontal="center"/>
    </xf>
    <xf numFmtId="165" fontId="3" fillId="2" borderId="0" xfId="0" applyNumberFormat="1" applyFont="1" applyFill="1" applyBorder="1" applyAlignment="1">
      <alignment horizontal="center"/>
    </xf>
    <xf numFmtId="165" fontId="3" fillId="2" borderId="9" xfId="0" applyNumberFormat="1" applyFont="1" applyFill="1" applyBorder="1" applyAlignment="1">
      <alignment horizontal="center"/>
    </xf>
    <xf numFmtId="165" fontId="3" fillId="0" borderId="0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right"/>
    </xf>
    <xf numFmtId="0" fontId="3" fillId="2" borderId="1" xfId="0" applyFont="1" applyFill="1" applyBorder="1" applyAlignment="1">
      <alignment horizontal="right"/>
    </xf>
    <xf numFmtId="165" fontId="3" fillId="2" borderId="1" xfId="0" applyNumberFormat="1" applyFont="1" applyFill="1" applyBorder="1" applyAlignment="1">
      <alignment horizontal="center"/>
    </xf>
    <xf numFmtId="9" fontId="0" fillId="0" borderId="0" xfId="0" applyNumberFormat="1" applyFill="1" applyAlignment="1">
      <alignment horizontal="center"/>
    </xf>
    <xf numFmtId="3" fontId="1" fillId="2" borderId="14" xfId="0" applyNumberFormat="1" applyFont="1" applyFill="1" applyBorder="1" applyAlignment="1">
      <alignment horizontal="center"/>
    </xf>
    <xf numFmtId="3" fontId="0" fillId="0" borderId="13" xfId="0" applyNumberFormat="1" applyFill="1" applyBorder="1" applyAlignment="1">
      <alignment horizontal="center"/>
    </xf>
    <xf numFmtId="3" fontId="1" fillId="2" borderId="4" xfId="0" applyNumberFormat="1" applyFont="1" applyFill="1" applyBorder="1" applyAlignment="1">
      <alignment horizontal="center"/>
    </xf>
    <xf numFmtId="3" fontId="1" fillId="2" borderId="5" xfId="0" applyNumberFormat="1" applyFont="1" applyFill="1" applyBorder="1" applyAlignment="1">
      <alignment horizontal="center"/>
    </xf>
    <xf numFmtId="3" fontId="0" fillId="2" borderId="0" xfId="0" applyNumberFormat="1" applyFill="1" applyBorder="1" applyAlignment="1">
      <alignment horizontal="left"/>
    </xf>
    <xf numFmtId="4" fontId="0" fillId="2" borderId="5" xfId="0" applyNumberFormat="1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3" fontId="0" fillId="2" borderId="5" xfId="0" applyNumberFormat="1" applyFont="1" applyFill="1" applyBorder="1" applyAlignment="1">
      <alignment horizontal="center"/>
    </xf>
    <xf numFmtId="165" fontId="0" fillId="2" borderId="1" xfId="0" applyNumberFormat="1" applyFill="1" applyBorder="1"/>
    <xf numFmtId="9" fontId="0" fillId="2" borderId="0" xfId="1" applyFont="1" applyFill="1" applyBorder="1" applyAlignment="1">
      <alignment horizontal="center"/>
    </xf>
    <xf numFmtId="167" fontId="1" fillId="2" borderId="1" xfId="1" applyNumberFormat="1" applyFont="1" applyFill="1" applyBorder="1" applyAlignment="1">
      <alignment horizontal="center"/>
    </xf>
    <xf numFmtId="3" fontId="0" fillId="2" borderId="10" xfId="0" applyNumberFormat="1" applyFont="1" applyFill="1" applyBorder="1" applyAlignment="1">
      <alignment horizontal="center"/>
    </xf>
    <xf numFmtId="167" fontId="2" fillId="2" borderId="10" xfId="1" applyNumberFormat="1" applyFont="1" applyFill="1" applyBorder="1" applyAlignment="1">
      <alignment horizontal="center"/>
    </xf>
    <xf numFmtId="9" fontId="0" fillId="0" borderId="0" xfId="1" applyFont="1" applyBorder="1"/>
    <xf numFmtId="0" fontId="1" fillId="0" borderId="0" xfId="0" applyFont="1" applyFill="1" applyBorder="1"/>
    <xf numFmtId="164" fontId="1" fillId="2" borderId="0" xfId="0" applyNumberFormat="1" applyFont="1" applyFill="1" applyBorder="1" applyAlignment="1">
      <alignment horizontal="center"/>
    </xf>
    <xf numFmtId="3" fontId="1" fillId="2" borderId="13" xfId="0" applyNumberFormat="1" applyFont="1" applyFill="1" applyBorder="1" applyAlignment="1">
      <alignment horizontal="center"/>
    </xf>
    <xf numFmtId="0" fontId="0" fillId="0" borderId="13" xfId="0" applyFill="1" applyBorder="1"/>
    <xf numFmtId="0" fontId="0" fillId="0" borderId="13" xfId="0" applyFill="1" applyBorder="1" applyAlignment="1">
      <alignment horizontal="center"/>
    </xf>
    <xf numFmtId="3" fontId="1" fillId="0" borderId="13" xfId="0" applyNumberFormat="1" applyFont="1" applyFill="1" applyBorder="1" applyAlignment="1">
      <alignment horizontal="center"/>
    </xf>
    <xf numFmtId="3" fontId="1" fillId="2" borderId="3" xfId="0" applyNumberFormat="1" applyFont="1" applyFill="1" applyBorder="1" applyAlignment="1">
      <alignment horizontal="center"/>
    </xf>
    <xf numFmtId="164" fontId="1" fillId="2" borderId="4" xfId="0" applyNumberFormat="1" applyFont="1" applyFill="1" applyBorder="1" applyAlignment="1">
      <alignment horizontal="center"/>
    </xf>
    <xf numFmtId="164" fontId="1" fillId="2" borderId="5" xfId="0" applyNumberFormat="1" applyFont="1" applyFill="1" applyBorder="1" applyAlignment="1">
      <alignment horizontal="center"/>
    </xf>
    <xf numFmtId="0" fontId="0" fillId="0" borderId="14" xfId="0" applyFill="1" applyBorder="1"/>
    <xf numFmtId="0" fontId="0" fillId="0" borderId="14" xfId="0" applyFill="1" applyBorder="1" applyAlignment="1">
      <alignment horizontal="center"/>
    </xf>
    <xf numFmtId="3" fontId="1" fillId="0" borderId="14" xfId="0" applyNumberFormat="1" applyFont="1" applyFill="1" applyBorder="1" applyAlignment="1">
      <alignment horizontal="center"/>
    </xf>
    <xf numFmtId="3" fontId="1" fillId="0" borderId="4" xfId="0" applyNumberFormat="1" applyFont="1" applyFill="1" applyBorder="1" applyAlignment="1">
      <alignment horizontal="center"/>
    </xf>
    <xf numFmtId="3" fontId="1" fillId="0" borderId="2" xfId="0" applyNumberFormat="1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9" fontId="0" fillId="0" borderId="0" xfId="1" applyFont="1" applyFill="1" applyBorder="1" applyAlignment="1">
      <alignment horizontal="center"/>
    </xf>
    <xf numFmtId="3" fontId="0" fillId="2" borderId="2" xfId="0" applyNumberFormat="1" applyFont="1" applyFill="1" applyBorder="1" applyAlignment="1">
      <alignment horizontal="center"/>
    </xf>
    <xf numFmtId="3" fontId="0" fillId="0" borderId="2" xfId="0" applyNumberFormat="1" applyFont="1" applyBorder="1" applyAlignment="1">
      <alignment horizontal="center"/>
    </xf>
    <xf numFmtId="4" fontId="0" fillId="0" borderId="4" xfId="0" applyNumberFormat="1" applyFont="1" applyBorder="1" applyAlignment="1">
      <alignment horizontal="center"/>
    </xf>
    <xf numFmtId="4" fontId="0" fillId="0" borderId="0" xfId="0" applyNumberFormat="1" applyFont="1" applyBorder="1" applyAlignment="1">
      <alignment horizontal="center"/>
    </xf>
    <xf numFmtId="3" fontId="0" fillId="0" borderId="13" xfId="0" applyNumberFormat="1" applyFont="1" applyBorder="1" applyAlignment="1">
      <alignment horizontal="center"/>
    </xf>
    <xf numFmtId="164" fontId="0" fillId="0" borderId="0" xfId="0" applyNumberFormat="1" applyFont="1" applyBorder="1" applyAlignment="1">
      <alignment horizontal="center"/>
    </xf>
    <xf numFmtId="4" fontId="0" fillId="0" borderId="0" xfId="0" applyNumberFormat="1" applyFont="1" applyFill="1" applyBorder="1" applyAlignment="1">
      <alignment horizontal="center"/>
    </xf>
    <xf numFmtId="164" fontId="0" fillId="0" borderId="0" xfId="0" applyNumberFormat="1" applyFont="1" applyFill="1" applyBorder="1" applyAlignment="1">
      <alignment horizontal="center"/>
    </xf>
    <xf numFmtId="4" fontId="2" fillId="0" borderId="0" xfId="1" applyNumberFormat="1" applyFont="1" applyFill="1" applyBorder="1" applyAlignment="1">
      <alignment horizontal="center"/>
    </xf>
    <xf numFmtId="0" fontId="3" fillId="0" borderId="0" xfId="0" applyFont="1" applyBorder="1"/>
    <xf numFmtId="3" fontId="0" fillId="0" borderId="0" xfId="0" applyNumberFormat="1" applyFont="1" applyBorder="1" applyAlignment="1">
      <alignment horizontal="center"/>
    </xf>
    <xf numFmtId="3" fontId="0" fillId="0" borderId="13" xfId="0" applyNumberFormat="1" applyFont="1" applyFill="1" applyBorder="1" applyAlignment="1">
      <alignment horizontal="center"/>
    </xf>
    <xf numFmtId="4" fontId="0" fillId="2" borderId="5" xfId="0" applyNumberFormat="1" applyFont="1" applyFill="1" applyBorder="1" applyAlignment="1">
      <alignment horizontal="center"/>
    </xf>
    <xf numFmtId="167" fontId="0" fillId="2" borderId="11" xfId="1" applyNumberFormat="1" applyFont="1" applyFill="1" applyBorder="1" applyAlignment="1">
      <alignment horizontal="center"/>
    </xf>
    <xf numFmtId="3" fontId="0" fillId="2" borderId="13" xfId="0" applyNumberFormat="1" applyFont="1" applyFill="1" applyBorder="1" applyAlignment="1">
      <alignment horizontal="center"/>
    </xf>
    <xf numFmtId="0" fontId="0" fillId="0" borderId="13" xfId="0" applyFont="1" applyBorder="1"/>
    <xf numFmtId="0" fontId="0" fillId="0" borderId="13" xfId="0" applyFont="1" applyBorder="1" applyAlignment="1">
      <alignment horizontal="center"/>
    </xf>
    <xf numFmtId="0" fontId="0" fillId="0" borderId="0" xfId="0" applyFont="1" applyBorder="1"/>
    <xf numFmtId="0" fontId="0" fillId="0" borderId="0" xfId="0" applyFont="1" applyBorder="1" applyAlignment="1">
      <alignment horizontal="center"/>
    </xf>
    <xf numFmtId="164" fontId="0" fillId="0" borderId="4" xfId="0" applyNumberFormat="1" applyFont="1" applyFill="1" applyBorder="1" applyAlignment="1">
      <alignment horizontal="center"/>
    </xf>
    <xf numFmtId="4" fontId="0" fillId="2" borderId="0" xfId="0" applyNumberFormat="1" applyFont="1" applyFill="1" applyBorder="1" applyAlignment="1">
      <alignment horizontal="center"/>
    </xf>
    <xf numFmtId="4" fontId="0" fillId="0" borderId="13" xfId="0" applyNumberFormat="1" applyFont="1" applyFill="1" applyBorder="1" applyAlignment="1">
      <alignment horizontal="center"/>
    </xf>
    <xf numFmtId="167" fontId="0" fillId="0" borderId="0" xfId="1" applyNumberFormat="1" applyFont="1"/>
    <xf numFmtId="9" fontId="0" fillId="2" borderId="1" xfId="0" quotePrefix="1" applyNumberFormat="1" applyFill="1" applyBorder="1" applyAlignment="1">
      <alignment horizontal="center"/>
    </xf>
    <xf numFmtId="3" fontId="0" fillId="2" borderId="0" xfId="0" applyNumberFormat="1" applyFill="1"/>
    <xf numFmtId="3" fontId="3" fillId="0" borderId="2" xfId="0" applyNumberFormat="1" applyFont="1" applyBorder="1"/>
    <xf numFmtId="3" fontId="3" fillId="0" borderId="13" xfId="0" applyNumberFormat="1" applyFont="1" applyBorder="1"/>
    <xf numFmtId="3" fontId="3" fillId="0" borderId="3" xfId="0" applyNumberFormat="1" applyFont="1" applyBorder="1"/>
    <xf numFmtId="3" fontId="3" fillId="0" borderId="4" xfId="0" applyNumberFormat="1" applyFont="1" applyBorder="1"/>
    <xf numFmtId="3" fontId="3" fillId="0" borderId="0" xfId="0" applyNumberFormat="1" applyFont="1" applyBorder="1"/>
    <xf numFmtId="3" fontId="3" fillId="0" borderId="5" xfId="0" applyNumberFormat="1" applyFont="1" applyBorder="1"/>
    <xf numFmtId="0" fontId="3" fillId="0" borderId="6" xfId="0" applyFont="1" applyBorder="1"/>
    <xf numFmtId="0" fontId="3" fillId="0" borderId="14" xfId="0" applyFont="1" applyBorder="1"/>
    <xf numFmtId="2" fontId="3" fillId="0" borderId="14" xfId="0" applyNumberFormat="1" applyFont="1" applyBorder="1"/>
    <xf numFmtId="2" fontId="3" fillId="0" borderId="7" xfId="0" applyNumberFormat="1" applyFont="1" applyBorder="1"/>
    <xf numFmtId="0" fontId="3" fillId="0" borderId="2" xfId="0" applyFont="1" applyBorder="1"/>
    <xf numFmtId="0" fontId="3" fillId="0" borderId="13" xfId="0" applyFont="1" applyBorder="1"/>
    <xf numFmtId="0" fontId="3" fillId="0" borderId="4" xfId="0" applyFont="1" applyBorder="1"/>
    <xf numFmtId="3" fontId="3" fillId="2" borderId="2" xfId="0" applyNumberFormat="1" applyFont="1" applyFill="1" applyBorder="1"/>
    <xf numFmtId="3" fontId="3" fillId="2" borderId="13" xfId="0" applyNumberFormat="1" applyFont="1" applyFill="1" applyBorder="1"/>
    <xf numFmtId="3" fontId="3" fillId="2" borderId="4" xfId="0" applyNumberFormat="1" applyFont="1" applyFill="1" applyBorder="1"/>
    <xf numFmtId="3" fontId="3" fillId="2" borderId="0" xfId="0" applyNumberFormat="1" applyFont="1" applyFill="1" applyBorder="1"/>
    <xf numFmtId="0" fontId="3" fillId="2" borderId="6" xfId="0" applyFont="1" applyFill="1" applyBorder="1"/>
    <xf numFmtId="0" fontId="3" fillId="2" borderId="14" xfId="0" applyFont="1" applyFill="1" applyBorder="1"/>
    <xf numFmtId="2" fontId="3" fillId="2" borderId="14" xfId="0" applyNumberFormat="1" applyFont="1" applyFill="1" applyBorder="1"/>
    <xf numFmtId="2" fontId="3" fillId="2" borderId="7" xfId="0" applyNumberFormat="1" applyFont="1" applyFill="1" applyBorder="1"/>
    <xf numFmtId="3" fontId="3" fillId="5" borderId="0" xfId="0" applyNumberFormat="1" applyFont="1" applyFill="1" applyBorder="1"/>
    <xf numFmtId="3" fontId="3" fillId="5" borderId="5" xfId="0" applyNumberFormat="1" applyFont="1" applyFill="1" applyBorder="1"/>
    <xf numFmtId="3" fontId="3" fillId="2" borderId="4" xfId="0" applyNumberFormat="1" applyFont="1" applyFill="1" applyBorder="1" applyAlignment="1">
      <alignment horizontal="center"/>
    </xf>
    <xf numFmtId="0" fontId="3" fillId="6" borderId="14" xfId="0" applyFont="1" applyFill="1" applyBorder="1"/>
    <xf numFmtId="9" fontId="0" fillId="0" borderId="0" xfId="1" applyFont="1" applyFill="1" applyAlignment="1">
      <alignment horizontal="center"/>
    </xf>
    <xf numFmtId="9" fontId="0" fillId="2" borderId="1" xfId="1" applyFont="1" applyFill="1" applyBorder="1"/>
    <xf numFmtId="167" fontId="0" fillId="0" borderId="0" xfId="1" applyNumberFormat="1" applyFont="1" applyFill="1" applyBorder="1" applyAlignment="1">
      <alignment horizontal="center"/>
    </xf>
    <xf numFmtId="9" fontId="1" fillId="2" borderId="7" xfId="1" applyFont="1" applyFill="1" applyBorder="1" applyAlignment="1">
      <alignment horizontal="center"/>
    </xf>
    <xf numFmtId="9" fontId="1" fillId="2" borderId="6" xfId="1" applyFont="1" applyFill="1" applyBorder="1" applyAlignment="1">
      <alignment horizontal="center"/>
    </xf>
    <xf numFmtId="164" fontId="0" fillId="2" borderId="11" xfId="0" applyNumberFormat="1" applyFill="1" applyBorder="1" applyAlignment="1">
      <alignment horizontal="center"/>
    </xf>
    <xf numFmtId="3" fontId="0" fillId="2" borderId="11" xfId="0" applyNumberFormat="1" applyFill="1" applyBorder="1" applyAlignment="1">
      <alignment horizontal="center"/>
    </xf>
    <xf numFmtId="9" fontId="1" fillId="2" borderId="12" xfId="1" applyFont="1" applyFill="1" applyBorder="1" applyAlignment="1">
      <alignment horizontal="center"/>
    </xf>
    <xf numFmtId="164" fontId="0" fillId="2" borderId="11" xfId="0" applyNumberFormat="1" applyFont="1" applyFill="1" applyBorder="1" applyAlignment="1">
      <alignment horizontal="center"/>
    </xf>
    <xf numFmtId="9" fontId="1" fillId="2" borderId="5" xfId="1" applyFont="1" applyFill="1" applyBorder="1" applyAlignment="1">
      <alignment horizontal="center"/>
    </xf>
    <xf numFmtId="9" fontId="1" fillId="2" borderId="4" xfId="1" applyFont="1" applyFill="1" applyBorder="1" applyAlignment="1">
      <alignment horizontal="center"/>
    </xf>
    <xf numFmtId="9" fontId="2" fillId="2" borderId="4" xfId="1" applyFont="1" applyFill="1" applyBorder="1" applyAlignment="1">
      <alignment horizontal="center"/>
    </xf>
    <xf numFmtId="0" fontId="1" fillId="2" borderId="7" xfId="0" applyFont="1" applyFill="1" applyBorder="1"/>
    <xf numFmtId="0" fontId="1" fillId="2" borderId="6" xfId="0" applyFont="1" applyFill="1" applyBorder="1"/>
    <xf numFmtId="3" fontId="0" fillId="0" borderId="1" xfId="0" applyNumberFormat="1" applyBorder="1"/>
    <xf numFmtId="0" fontId="1" fillId="0" borderId="1" xfId="0" applyFont="1" applyFill="1" applyBorder="1"/>
    <xf numFmtId="167" fontId="1" fillId="0" borderId="4" xfId="1" applyNumberFormat="1" applyFont="1" applyFill="1" applyBorder="1" applyAlignment="1">
      <alignment horizontal="center"/>
    </xf>
    <xf numFmtId="9" fontId="1" fillId="0" borderId="1" xfId="1" applyFont="1" applyFill="1" applyBorder="1" applyAlignment="1">
      <alignment horizontal="center"/>
    </xf>
    <xf numFmtId="3" fontId="1" fillId="2" borderId="1" xfId="0" applyNumberFormat="1" applyFont="1" applyFill="1" applyBorder="1"/>
    <xf numFmtId="3" fontId="1" fillId="0" borderId="1" xfId="0" applyNumberFormat="1" applyFont="1" applyBorder="1"/>
    <xf numFmtId="9" fontId="1" fillId="0" borderId="0" xfId="1" applyFont="1" applyFill="1" applyBorder="1" applyAlignment="1">
      <alignment horizontal="center"/>
    </xf>
    <xf numFmtId="165" fontId="0" fillId="0" borderId="0" xfId="0" applyNumberFormat="1" applyAlignment="1"/>
    <xf numFmtId="170" fontId="0" fillId="0" borderId="1" xfId="2" applyNumberFormat="1" applyFont="1" applyBorder="1"/>
    <xf numFmtId="0" fontId="0" fillId="8" borderId="0" xfId="0" applyFill="1"/>
    <xf numFmtId="165" fontId="0" fillId="5" borderId="1" xfId="0" applyNumberFormat="1" applyFill="1" applyBorder="1" applyAlignment="1">
      <alignment horizontal="center"/>
    </xf>
    <xf numFmtId="0" fontId="0" fillId="5" borderId="0" xfId="0" applyFill="1"/>
    <xf numFmtId="165" fontId="3" fillId="5" borderId="1" xfId="0" applyNumberFormat="1" applyFont="1" applyFill="1" applyBorder="1" applyAlignment="1">
      <alignment horizontal="center"/>
    </xf>
    <xf numFmtId="167" fontId="2" fillId="5" borderId="1" xfId="1" applyNumberFormat="1" applyFont="1" applyFill="1" applyBorder="1" applyAlignment="1">
      <alignment horizontal="center"/>
    </xf>
    <xf numFmtId="0" fontId="0" fillId="2" borderId="13" xfId="0" applyFill="1" applyBorder="1" applyAlignment="1">
      <alignment wrapText="1"/>
    </xf>
    <xf numFmtId="0" fontId="0" fillId="2" borderId="3" xfId="0" applyFill="1" applyBorder="1" applyAlignment="1">
      <alignment horizontal="center" wrapText="1"/>
    </xf>
    <xf numFmtId="168" fontId="1" fillId="5" borderId="0" xfId="0" applyNumberFormat="1" applyFont="1" applyFill="1" applyBorder="1" applyAlignment="1">
      <alignment horizontal="center"/>
    </xf>
    <xf numFmtId="168" fontId="1" fillId="5" borderId="5" xfId="0" applyNumberFormat="1" applyFont="1" applyFill="1" applyBorder="1" applyAlignment="1">
      <alignment horizontal="center"/>
    </xf>
    <xf numFmtId="3" fontId="0" fillId="0" borderId="0" xfId="0" applyNumberFormat="1" applyFill="1" applyAlignment="1">
      <alignment horizontal="center"/>
    </xf>
    <xf numFmtId="3" fontId="0" fillId="2" borderId="9" xfId="0" applyNumberFormat="1" applyFill="1" applyBorder="1" applyAlignment="1">
      <alignment horizontal="center"/>
    </xf>
    <xf numFmtId="3" fontId="0" fillId="0" borderId="3" xfId="0" applyNumberFormat="1" applyFont="1" applyBorder="1" applyAlignment="1">
      <alignment horizontal="center"/>
    </xf>
    <xf numFmtId="1" fontId="0" fillId="2" borderId="10" xfId="0" applyNumberFormat="1" applyFill="1" applyBorder="1" applyAlignment="1">
      <alignment horizontal="center"/>
    </xf>
    <xf numFmtId="0" fontId="0" fillId="4" borderId="1" xfId="0" applyFill="1" applyBorder="1" applyAlignment="1">
      <alignment horizontal="left"/>
    </xf>
    <xf numFmtId="0" fontId="0" fillId="10" borderId="1" xfId="0" applyFill="1" applyBorder="1" applyAlignment="1">
      <alignment horizontal="left"/>
    </xf>
    <xf numFmtId="0" fontId="0" fillId="3" borderId="1" xfId="0" applyFill="1" applyBorder="1" applyAlignment="1">
      <alignment horizontal="left"/>
    </xf>
    <xf numFmtId="0" fontId="0" fillId="11" borderId="1" xfId="0" applyFill="1" applyBorder="1" applyAlignment="1">
      <alignment horizontal="left"/>
    </xf>
    <xf numFmtId="0" fontId="0" fillId="9" borderId="1" xfId="0" applyFill="1" applyBorder="1" applyAlignment="1">
      <alignment horizontal="left"/>
    </xf>
    <xf numFmtId="3" fontId="0" fillId="3" borderId="1" xfId="0" applyNumberFormat="1" applyFill="1" applyBorder="1" applyAlignment="1">
      <alignment horizontal="center"/>
    </xf>
    <xf numFmtId="3" fontId="0" fillId="11" borderId="1" xfId="0" applyNumberFormat="1" applyFill="1" applyBorder="1" applyAlignment="1">
      <alignment horizontal="center"/>
    </xf>
    <xf numFmtId="3" fontId="0" fillId="4" borderId="1" xfId="0" applyNumberFormat="1" applyFill="1" applyBorder="1" applyAlignment="1">
      <alignment horizontal="center"/>
    </xf>
    <xf numFmtId="3" fontId="0" fillId="9" borderId="1" xfId="0" applyNumberFormat="1" applyFill="1" applyBorder="1" applyAlignment="1">
      <alignment horizontal="center"/>
    </xf>
    <xf numFmtId="3" fontId="0" fillId="10" borderId="1" xfId="0" applyNumberFormat="1" applyFill="1" applyBorder="1" applyAlignment="1">
      <alignment horizontal="center"/>
    </xf>
    <xf numFmtId="0" fontId="1" fillId="2" borderId="8" xfId="0" applyFont="1" applyFill="1" applyBorder="1" applyAlignment="1">
      <alignment horizontal="left"/>
    </xf>
    <xf numFmtId="0" fontId="1" fillId="2" borderId="1" xfId="0" applyFont="1" applyFill="1" applyBorder="1"/>
    <xf numFmtId="9" fontId="0" fillId="0" borderId="12" xfId="1" applyFont="1" applyBorder="1" applyAlignment="1">
      <alignment horizontal="center"/>
    </xf>
    <xf numFmtId="9" fontId="2" fillId="0" borderId="0" xfId="1" applyFont="1" applyFill="1" applyBorder="1" applyAlignment="1">
      <alignment horizontal="center"/>
    </xf>
    <xf numFmtId="3" fontId="1" fillId="2" borderId="8" xfId="0" applyNumberFormat="1" applyFont="1" applyFill="1" applyBorder="1" applyAlignment="1">
      <alignment horizontal="center"/>
    </xf>
    <xf numFmtId="3" fontId="1" fillId="2" borderId="15" xfId="0" applyNumberFormat="1" applyFont="1" applyFill="1" applyBorder="1" applyAlignment="1">
      <alignment horizontal="center"/>
    </xf>
    <xf numFmtId="0" fontId="0" fillId="2" borderId="2" xfId="0" applyFill="1" applyBorder="1" applyAlignment="1"/>
    <xf numFmtId="165" fontId="0" fillId="2" borderId="13" xfId="0" applyNumberFormat="1" applyFill="1" applyBorder="1" applyAlignment="1">
      <alignment horizontal="center"/>
    </xf>
    <xf numFmtId="165" fontId="0" fillId="2" borderId="3" xfId="0" applyNumberFormat="1" applyFill="1" applyBorder="1" applyAlignment="1">
      <alignment horizontal="center"/>
    </xf>
    <xf numFmtId="0" fontId="0" fillId="2" borderId="6" xfId="0" applyFill="1" applyBorder="1" applyAlignment="1"/>
    <xf numFmtId="165" fontId="0" fillId="2" borderId="14" xfId="0" applyNumberFormat="1" applyFill="1" applyBorder="1" applyAlignment="1">
      <alignment horizontal="center"/>
    </xf>
    <xf numFmtId="165" fontId="0" fillId="2" borderId="7" xfId="0" applyNumberFormat="1" applyFill="1" applyBorder="1" applyAlignment="1">
      <alignment horizontal="center"/>
    </xf>
    <xf numFmtId="0" fontId="0" fillId="2" borderId="2" xfId="0" applyFill="1" applyBorder="1" applyAlignment="1">
      <alignment wrapText="1"/>
    </xf>
    <xf numFmtId="0" fontId="0" fillId="2" borderId="6" xfId="0" applyFill="1" applyBorder="1" applyAlignment="1">
      <alignment wrapText="1"/>
    </xf>
    <xf numFmtId="0" fontId="0" fillId="2" borderId="2" xfId="0" applyFont="1" applyFill="1" applyBorder="1" applyAlignment="1">
      <alignment wrapText="1"/>
    </xf>
    <xf numFmtId="165" fontId="0" fillId="2" borderId="13" xfId="0" applyNumberFormat="1" applyFont="1" applyFill="1" applyBorder="1" applyAlignment="1">
      <alignment horizontal="center"/>
    </xf>
    <xf numFmtId="165" fontId="0" fillId="2" borderId="3" xfId="0" applyNumberFormat="1" applyFont="1" applyFill="1" applyBorder="1" applyAlignment="1">
      <alignment horizontal="center"/>
    </xf>
    <xf numFmtId="0" fontId="0" fillId="2" borderId="6" xfId="0" applyFont="1" applyFill="1" applyBorder="1" applyAlignment="1">
      <alignment wrapText="1"/>
    </xf>
    <xf numFmtId="165" fontId="0" fillId="2" borderId="14" xfId="0" applyNumberFormat="1" applyFont="1" applyFill="1" applyBorder="1" applyAlignment="1">
      <alignment horizontal="center"/>
    </xf>
    <xf numFmtId="165" fontId="0" fillId="2" borderId="7" xfId="0" applyNumberFormat="1" applyFont="1" applyFill="1" applyBorder="1" applyAlignment="1">
      <alignment horizontal="center"/>
    </xf>
    <xf numFmtId="0" fontId="0" fillId="2" borderId="0" xfId="0" applyFill="1" applyAlignment="1">
      <alignment horizontal="left"/>
    </xf>
    <xf numFmtId="0" fontId="0" fillId="0" borderId="0" xfId="0" applyFont="1" applyFill="1" applyBorder="1" applyAlignment="1">
      <alignment horizontal="left"/>
    </xf>
    <xf numFmtId="167" fontId="2" fillId="0" borderId="1" xfId="1" applyNumberFormat="1" applyFont="1" applyFill="1" applyBorder="1" applyAlignment="1">
      <alignment horizontal="center"/>
    </xf>
    <xf numFmtId="4" fontId="0" fillId="0" borderId="0" xfId="0" applyNumberFormat="1"/>
    <xf numFmtId="2" fontId="0" fillId="2" borderId="5" xfId="0" applyNumberFormat="1" applyFill="1" applyBorder="1"/>
    <xf numFmtId="3" fontId="0" fillId="2" borderId="3" xfId="0" applyNumberFormat="1" applyFill="1" applyBorder="1"/>
    <xf numFmtId="2" fontId="3" fillId="0" borderId="0" xfId="0" applyNumberFormat="1" applyFont="1" applyBorder="1"/>
    <xf numFmtId="2" fontId="3" fillId="0" borderId="5" xfId="0" applyNumberFormat="1" applyFont="1" applyBorder="1"/>
    <xf numFmtId="2" fontId="0" fillId="2" borderId="4" xfId="0" applyNumberFormat="1" applyFill="1" applyBorder="1"/>
    <xf numFmtId="9" fontId="0" fillId="2" borderId="6" xfId="1" applyFont="1" applyFill="1" applyBorder="1"/>
    <xf numFmtId="9" fontId="0" fillId="2" borderId="14" xfId="1" applyFont="1" applyFill="1" applyBorder="1"/>
    <xf numFmtId="9" fontId="0" fillId="2" borderId="7" xfId="1" applyFont="1" applyFill="1" applyBorder="1"/>
    <xf numFmtId="165" fontId="0" fillId="0" borderId="12" xfId="0" applyNumberFormat="1" applyBorder="1" applyAlignment="1">
      <alignment horizontal="center"/>
    </xf>
    <xf numFmtId="0" fontId="1" fillId="2" borderId="8" xfId="0" applyFont="1" applyFill="1" applyBorder="1"/>
    <xf numFmtId="0" fontId="0" fillId="2" borderId="4" xfId="0" applyFill="1" applyBorder="1" applyAlignment="1"/>
    <xf numFmtId="165" fontId="0" fillId="2" borderId="5" xfId="0" applyNumberFormat="1" applyFill="1" applyBorder="1" applyAlignment="1">
      <alignment horizontal="center"/>
    </xf>
    <xf numFmtId="0" fontId="0" fillId="2" borderId="4" xfId="0" applyFill="1" applyBorder="1" applyAlignment="1">
      <alignment wrapText="1"/>
    </xf>
    <xf numFmtId="165" fontId="0" fillId="2" borderId="0" xfId="0" applyNumberFormat="1" applyFont="1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2" borderId="4" xfId="0" applyFont="1" applyFill="1" applyBorder="1" applyAlignment="1">
      <alignment wrapText="1"/>
    </xf>
    <xf numFmtId="165" fontId="0" fillId="2" borderId="2" xfId="0" applyNumberFormat="1" applyFill="1" applyBorder="1" applyAlignment="1">
      <alignment horizontal="center"/>
    </xf>
    <xf numFmtId="165" fontId="0" fillId="2" borderId="4" xfId="0" applyNumberFormat="1" applyFill="1" applyBorder="1" applyAlignment="1">
      <alignment horizontal="center"/>
    </xf>
    <xf numFmtId="165" fontId="0" fillId="2" borderId="6" xfId="0" applyNumberFormat="1" applyFill="1" applyBorder="1" applyAlignment="1">
      <alignment horizontal="center"/>
    </xf>
    <xf numFmtId="165" fontId="0" fillId="2" borderId="2" xfId="0" applyNumberFormat="1" applyFont="1" applyFill="1" applyBorder="1" applyAlignment="1">
      <alignment horizontal="center"/>
    </xf>
    <xf numFmtId="165" fontId="0" fillId="2" borderId="4" xfId="0" applyNumberFormat="1" applyFont="1" applyFill="1" applyBorder="1" applyAlignment="1">
      <alignment horizontal="center"/>
    </xf>
    <xf numFmtId="165" fontId="0" fillId="2" borderId="5" xfId="0" applyNumberFormat="1" applyFont="1" applyFill="1" applyBorder="1" applyAlignment="1">
      <alignment horizontal="center"/>
    </xf>
    <xf numFmtId="165" fontId="0" fillId="2" borderId="6" xfId="0" applyNumberFormat="1" applyFont="1" applyFill="1" applyBorder="1" applyAlignment="1">
      <alignment horizontal="center"/>
    </xf>
    <xf numFmtId="1" fontId="0" fillId="2" borderId="15" xfId="0" applyNumberFormat="1" applyFill="1" applyBorder="1" applyAlignment="1">
      <alignment horizontal="center"/>
    </xf>
    <xf numFmtId="1" fontId="0" fillId="2" borderId="9" xfId="0" applyNumberFormat="1" applyFill="1" applyBorder="1" applyAlignment="1">
      <alignment horizontal="center"/>
    </xf>
    <xf numFmtId="3" fontId="0" fillId="3" borderId="12" xfId="0" applyNumberFormat="1" applyFill="1" applyBorder="1" applyAlignment="1">
      <alignment horizontal="center"/>
    </xf>
    <xf numFmtId="165" fontId="0" fillId="5" borderId="1" xfId="0" applyNumberFormat="1" applyFont="1" applyFill="1" applyBorder="1" applyAlignment="1">
      <alignment horizontal="center"/>
    </xf>
    <xf numFmtId="3" fontId="1" fillId="2" borderId="9" xfId="0" applyNumberFormat="1" applyFont="1" applyFill="1" applyBorder="1" applyAlignment="1">
      <alignment horizontal="center"/>
    </xf>
    <xf numFmtId="0" fontId="1" fillId="2" borderId="1" xfId="0" applyFont="1" applyFill="1" applyBorder="1" applyAlignment="1">
      <alignment horizontal="right"/>
    </xf>
    <xf numFmtId="0" fontId="0" fillId="3" borderId="1" xfId="0" applyFill="1" applyBorder="1"/>
    <xf numFmtId="0" fontId="0" fillId="11" borderId="1" xfId="0" applyFill="1" applyBorder="1"/>
    <xf numFmtId="0" fontId="0" fillId="4" borderId="1" xfId="0" applyFill="1" applyBorder="1"/>
    <xf numFmtId="0" fontId="0" fillId="9" borderId="1" xfId="0" applyFill="1" applyBorder="1"/>
    <xf numFmtId="0" fontId="0" fillId="10" borderId="1" xfId="0" applyFill="1" applyBorder="1"/>
    <xf numFmtId="165" fontId="0" fillId="2" borderId="1" xfId="0" applyNumberFormat="1" applyFont="1" applyFill="1" applyBorder="1" applyAlignment="1">
      <alignment horizontal="center"/>
    </xf>
    <xf numFmtId="0" fontId="0" fillId="0" borderId="0" xfId="0" applyFont="1"/>
    <xf numFmtId="0" fontId="0" fillId="3" borderId="1" xfId="0" applyFill="1" applyBorder="1" applyAlignment="1">
      <alignment horizontal="center"/>
    </xf>
    <xf numFmtId="0" fontId="0" fillId="11" borderId="1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10" borderId="1" xfId="0" applyFill="1" applyBorder="1" applyAlignment="1">
      <alignment horizontal="center"/>
    </xf>
    <xf numFmtId="0" fontId="0" fillId="3" borderId="12" xfId="0" applyFill="1" applyBorder="1"/>
    <xf numFmtId="9" fontId="0" fillId="0" borderId="12" xfId="0" quotePrefix="1" applyNumberFormat="1" applyBorder="1" applyAlignment="1">
      <alignment horizontal="center"/>
    </xf>
    <xf numFmtId="9" fontId="0" fillId="2" borderId="12" xfId="0" quotePrefix="1" applyNumberFormat="1" applyFill="1" applyBorder="1" applyAlignment="1">
      <alignment horizontal="center"/>
    </xf>
    <xf numFmtId="9" fontId="0" fillId="2" borderId="1" xfId="1" quotePrefix="1" applyFont="1" applyFill="1" applyBorder="1" applyAlignment="1">
      <alignment horizontal="center"/>
    </xf>
    <xf numFmtId="167" fontId="3" fillId="2" borderId="1" xfId="1" applyNumberFormat="1" applyFont="1" applyFill="1" applyBorder="1" applyAlignment="1">
      <alignment horizontal="center"/>
    </xf>
    <xf numFmtId="0" fontId="0" fillId="2" borderId="10" xfId="0" applyFill="1" applyBorder="1"/>
    <xf numFmtId="0" fontId="3" fillId="0" borderId="0" xfId="0" applyFont="1" applyFill="1" applyBorder="1"/>
    <xf numFmtId="0" fontId="0" fillId="0" borderId="0" xfId="0" applyFont="1" applyFill="1" applyBorder="1"/>
    <xf numFmtId="165" fontId="1" fillId="2" borderId="1" xfId="0" applyNumberFormat="1" applyFont="1" applyFill="1" applyBorder="1" applyAlignment="1">
      <alignment horizontal="center"/>
    </xf>
    <xf numFmtId="0" fontId="0" fillId="12" borderId="1" xfId="0" applyFill="1" applyBorder="1" applyAlignment="1">
      <alignment horizontal="center"/>
    </xf>
    <xf numFmtId="0" fontId="3" fillId="10" borderId="10" xfId="0" applyFont="1" applyFill="1" applyBorder="1" applyAlignment="1">
      <alignment horizontal="right"/>
    </xf>
    <xf numFmtId="0" fontId="3" fillId="10" borderId="1" xfId="0" applyFont="1" applyFill="1" applyBorder="1" applyAlignment="1">
      <alignment horizontal="right"/>
    </xf>
    <xf numFmtId="0" fontId="1" fillId="10" borderId="1" xfId="0" applyFont="1" applyFill="1" applyBorder="1" applyAlignment="1">
      <alignment horizontal="right"/>
    </xf>
    <xf numFmtId="0" fontId="1" fillId="9" borderId="1" xfId="0" applyFont="1" applyFill="1" applyBorder="1" applyAlignment="1">
      <alignment horizontal="right"/>
    </xf>
    <xf numFmtId="0" fontId="1" fillId="3" borderId="1" xfId="0" applyFont="1" applyFill="1" applyBorder="1" applyAlignment="1">
      <alignment horizontal="right"/>
    </xf>
    <xf numFmtId="0" fontId="1" fillId="4" borderId="1" xfId="0" applyFont="1" applyFill="1" applyBorder="1" applyAlignment="1">
      <alignment horizontal="right"/>
    </xf>
    <xf numFmtId="167" fontId="0" fillId="2" borderId="13" xfId="1" applyNumberFormat="1" applyFont="1" applyFill="1" applyBorder="1" applyAlignment="1">
      <alignment horizontal="center"/>
    </xf>
    <xf numFmtId="4" fontId="0" fillId="0" borderId="4" xfId="0" applyNumberFormat="1" applyBorder="1" applyAlignment="1">
      <alignment horizontal="center"/>
    </xf>
    <xf numFmtId="3" fontId="0" fillId="2" borderId="7" xfId="0" applyNumberFormat="1" applyFill="1" applyBorder="1" applyAlignment="1">
      <alignment horizontal="center"/>
    </xf>
    <xf numFmtId="3" fontId="0" fillId="0" borderId="14" xfId="0" applyNumberFormat="1" applyFill="1" applyBorder="1" applyAlignment="1">
      <alignment horizontal="center"/>
    </xf>
    <xf numFmtId="0" fontId="0" fillId="0" borderId="14" xfId="0" applyBorder="1" applyAlignment="1">
      <alignment horizontal="center"/>
    </xf>
    <xf numFmtId="3" fontId="0" fillId="0" borderId="14" xfId="0" applyNumberFormat="1" applyFont="1" applyBorder="1" applyAlignment="1">
      <alignment horizontal="center"/>
    </xf>
    <xf numFmtId="0" fontId="0" fillId="2" borderId="15" xfId="0" applyFill="1" applyBorder="1" applyAlignment="1">
      <alignment horizontal="center"/>
    </xf>
    <xf numFmtId="0" fontId="1" fillId="2" borderId="2" xfId="0" applyFont="1" applyFill="1" applyBorder="1"/>
    <xf numFmtId="3" fontId="0" fillId="0" borderId="2" xfId="0" applyNumberFormat="1" applyFont="1" applyFill="1" applyBorder="1" applyAlignment="1">
      <alignment horizontal="center"/>
    </xf>
    <xf numFmtId="4" fontId="0" fillId="0" borderId="0" xfId="1" applyNumberFormat="1" applyFont="1" applyFill="1" applyBorder="1" applyAlignment="1">
      <alignment horizontal="center"/>
    </xf>
    <xf numFmtId="1" fontId="0" fillId="2" borderId="8" xfId="0" applyNumberFormat="1" applyFill="1" applyBorder="1" applyAlignment="1">
      <alignment horizontal="center"/>
    </xf>
    <xf numFmtId="1" fontId="0" fillId="2" borderId="15" xfId="0" applyNumberFormat="1" applyFill="1" applyBorder="1" applyAlignment="1">
      <alignment horizontal="center"/>
    </xf>
    <xf numFmtId="1" fontId="0" fillId="2" borderId="9" xfId="0" applyNumberFormat="1" applyFill="1" applyBorder="1" applyAlignment="1">
      <alignment horizontal="center"/>
    </xf>
    <xf numFmtId="0" fontId="0" fillId="2" borderId="0" xfId="0" applyFill="1" applyBorder="1" applyAlignment="1">
      <alignment horizontal="left"/>
    </xf>
    <xf numFmtId="0" fontId="0" fillId="10" borderId="12" xfId="0" applyFill="1" applyBorder="1"/>
    <xf numFmtId="3" fontId="0" fillId="2" borderId="1" xfId="0" applyNumberFormat="1" applyFill="1" applyBorder="1" applyAlignment="1">
      <alignment horizontal="center" wrapText="1"/>
    </xf>
    <xf numFmtId="3" fontId="1" fillId="2" borderId="0" xfId="0" applyNumberFormat="1" applyFont="1" applyFill="1" applyBorder="1" applyAlignment="1">
      <alignment horizontal="left"/>
    </xf>
    <xf numFmtId="0" fontId="0" fillId="2" borderId="0" xfId="0" quotePrefix="1" applyFill="1" applyAlignment="1">
      <alignment horizontal="center"/>
    </xf>
    <xf numFmtId="0" fontId="0" fillId="2" borderId="0" xfId="0" applyFill="1" applyAlignment="1"/>
    <xf numFmtId="1" fontId="0" fillId="0" borderId="0" xfId="0" applyNumberFormat="1" applyFill="1" applyBorder="1" applyAlignment="1"/>
    <xf numFmtId="0" fontId="3" fillId="0" borderId="0" xfId="0" applyFont="1" applyFill="1" applyBorder="1" applyAlignment="1">
      <alignment horizontal="center"/>
    </xf>
    <xf numFmtId="0" fontId="3" fillId="0" borderId="0" xfId="0" applyFont="1" applyFill="1"/>
    <xf numFmtId="0" fontId="0" fillId="3" borderId="10" xfId="0" applyFill="1" applyBorder="1"/>
    <xf numFmtId="0" fontId="0" fillId="3" borderId="11" xfId="0" applyFill="1" applyBorder="1"/>
    <xf numFmtId="9" fontId="1" fillId="2" borderId="11" xfId="1" applyFont="1" applyFill="1" applyBorder="1" applyAlignment="1">
      <alignment horizontal="center"/>
    </xf>
    <xf numFmtId="0" fontId="0" fillId="2" borderId="1" xfId="0" applyFill="1" applyBorder="1" applyAlignment="1">
      <alignment wrapText="1"/>
    </xf>
    <xf numFmtId="0" fontId="3" fillId="0" borderId="13" xfId="0" applyFont="1" applyBorder="1" applyAlignment="1">
      <alignment horizontal="center"/>
    </xf>
    <xf numFmtId="3" fontId="3" fillId="0" borderId="13" xfId="0" applyNumberFormat="1" applyFont="1" applyFill="1" applyBorder="1" applyAlignment="1">
      <alignment horizontal="center"/>
    </xf>
    <xf numFmtId="3" fontId="0" fillId="2" borderId="3" xfId="0" applyNumberFormat="1" applyFont="1" applyFill="1" applyBorder="1" applyAlignment="1">
      <alignment horizontal="center"/>
    </xf>
    <xf numFmtId="3" fontId="0" fillId="0" borderId="2" xfId="0" applyNumberFormat="1" applyFill="1" applyBorder="1" applyAlignment="1">
      <alignment horizontal="center"/>
    </xf>
    <xf numFmtId="4" fontId="0" fillId="2" borderId="4" xfId="0" applyNumberFormat="1" applyFont="1" applyFill="1" applyBorder="1" applyAlignment="1">
      <alignment horizontal="center"/>
    </xf>
    <xf numFmtId="3" fontId="0" fillId="5" borderId="13" xfId="0" applyNumberFormat="1" applyFont="1" applyFill="1" applyBorder="1" applyAlignment="1">
      <alignment horizontal="center"/>
    </xf>
    <xf numFmtId="4" fontId="0" fillId="2" borderId="4" xfId="0" applyNumberFormat="1" applyFill="1" applyBorder="1" applyAlignment="1">
      <alignment horizontal="center"/>
    </xf>
    <xf numFmtId="4" fontId="0" fillId="0" borderId="0" xfId="1" applyNumberFormat="1" applyFont="1" applyBorder="1" applyAlignment="1">
      <alignment horizontal="center"/>
    </xf>
    <xf numFmtId="0" fontId="0" fillId="0" borderId="13" xfId="0" applyFont="1" applyFill="1" applyBorder="1"/>
    <xf numFmtId="0" fontId="0" fillId="0" borderId="13" xfId="0" applyFont="1" applyFill="1" applyBorder="1" applyAlignment="1">
      <alignment horizontal="center"/>
    </xf>
    <xf numFmtId="169" fontId="0" fillId="2" borderId="4" xfId="0" applyNumberFormat="1" applyFill="1" applyBorder="1" applyAlignment="1">
      <alignment horizontal="center"/>
    </xf>
    <xf numFmtId="3" fontId="4" fillId="0" borderId="0" xfId="0" applyNumberFormat="1" applyFont="1" applyBorder="1" applyAlignment="1">
      <alignment horizontal="center"/>
    </xf>
    <xf numFmtId="3" fontId="4" fillId="0" borderId="0" xfId="0" applyNumberFormat="1" applyFont="1" applyFill="1" applyBorder="1" applyAlignment="1">
      <alignment horizontal="center"/>
    </xf>
    <xf numFmtId="3" fontId="0" fillId="0" borderId="4" xfId="0" applyNumberFormat="1" applyFont="1" applyBorder="1" applyAlignment="1">
      <alignment horizontal="center"/>
    </xf>
    <xf numFmtId="0" fontId="0" fillId="0" borderId="11" xfId="0" applyFill="1" applyBorder="1"/>
    <xf numFmtId="165" fontId="3" fillId="0" borderId="0" xfId="0" applyNumberFormat="1" applyFont="1" applyFill="1" applyBorder="1" applyAlignment="1">
      <alignment horizontal="left"/>
    </xf>
    <xf numFmtId="0" fontId="0" fillId="0" borderId="0" xfId="0" applyFont="1" applyFill="1" applyBorder="1" applyAlignment="1">
      <alignment horizontal="right"/>
    </xf>
    <xf numFmtId="165" fontId="0" fillId="0" borderId="0" xfId="0" applyNumberFormat="1" applyFill="1" applyBorder="1"/>
    <xf numFmtId="167" fontId="0" fillId="0" borderId="0" xfId="1" applyNumberFormat="1" applyFont="1" applyFill="1"/>
    <xf numFmtId="3" fontId="0" fillId="2" borderId="14" xfId="0" applyNumberFormat="1" applyFill="1" applyBorder="1" applyAlignment="1">
      <alignment horizontal="center"/>
    </xf>
    <xf numFmtId="164" fontId="1" fillId="0" borderId="0" xfId="0" applyNumberFormat="1" applyFont="1" applyFill="1" applyBorder="1" applyAlignment="1">
      <alignment horizontal="center"/>
    </xf>
    <xf numFmtId="0" fontId="5" fillId="0" borderId="0" xfId="0" applyFont="1"/>
    <xf numFmtId="0" fontId="5" fillId="0" borderId="0" xfId="0" applyFont="1" applyFill="1" applyBorder="1" applyAlignment="1">
      <alignment horizontal="left"/>
    </xf>
    <xf numFmtId="3" fontId="0" fillId="2" borderId="1" xfId="1" applyNumberFormat="1" applyFont="1" applyFill="1" applyBorder="1" applyAlignment="1">
      <alignment horizontal="center"/>
    </xf>
    <xf numFmtId="0" fontId="0" fillId="2" borderId="10" xfId="0" applyFont="1" applyFill="1" applyBorder="1"/>
    <xf numFmtId="0" fontId="0" fillId="10" borderId="12" xfId="0" applyFont="1" applyFill="1" applyBorder="1"/>
    <xf numFmtId="0" fontId="0" fillId="10" borderId="10" xfId="0" applyFont="1" applyFill="1" applyBorder="1"/>
    <xf numFmtId="167" fontId="0" fillId="2" borderId="6" xfId="1" applyNumberFormat="1" applyFont="1" applyFill="1" applyBorder="1" applyAlignment="1">
      <alignment horizontal="center"/>
    </xf>
    <xf numFmtId="0" fontId="0" fillId="10" borderId="2" xfId="0" applyFont="1" applyFill="1" applyBorder="1"/>
    <xf numFmtId="0" fontId="0" fillId="10" borderId="8" xfId="0" applyFont="1" applyFill="1" applyBorder="1"/>
    <xf numFmtId="0" fontId="0" fillId="2" borderId="0" xfId="0" applyFill="1" applyAlignment="1">
      <alignment horizontal="right"/>
    </xf>
    <xf numFmtId="0" fontId="0" fillId="4" borderId="10" xfId="0" applyFill="1" applyBorder="1"/>
    <xf numFmtId="0" fontId="0" fillId="4" borderId="11" xfId="0" applyFill="1" applyBorder="1"/>
    <xf numFmtId="0" fontId="0" fillId="12" borderId="10" xfId="0" applyFill="1" applyBorder="1"/>
    <xf numFmtId="0" fontId="0" fillId="12" borderId="11" xfId="0" applyFill="1" applyBorder="1"/>
    <xf numFmtId="0" fontId="0" fillId="2" borderId="3" xfId="0" applyFill="1" applyBorder="1" applyAlignment="1">
      <alignment horizontal="left"/>
    </xf>
    <xf numFmtId="0" fontId="0" fillId="2" borderId="5" xfId="0" applyFill="1" applyBorder="1" applyAlignment="1">
      <alignment horizontal="left"/>
    </xf>
    <xf numFmtId="0" fontId="0" fillId="2" borderId="7" xfId="0" applyFill="1" applyBorder="1" applyAlignment="1">
      <alignment horizontal="left"/>
    </xf>
    <xf numFmtId="1" fontId="0" fillId="2" borderId="2" xfId="0" applyNumberFormat="1" applyFill="1" applyBorder="1" applyAlignment="1">
      <alignment horizontal="center"/>
    </xf>
    <xf numFmtId="1" fontId="0" fillId="2" borderId="13" xfId="0" applyNumberFormat="1" applyFill="1" applyBorder="1" applyAlignment="1">
      <alignment horizontal="center"/>
    </xf>
    <xf numFmtId="1" fontId="0" fillId="2" borderId="3" xfId="0" applyNumberFormat="1" applyFill="1" applyBorder="1" applyAlignment="1">
      <alignment horizontal="center"/>
    </xf>
    <xf numFmtId="3" fontId="0" fillId="2" borderId="6" xfId="0" applyNumberFormat="1" applyFill="1" applyBorder="1" applyAlignment="1">
      <alignment horizontal="center"/>
    </xf>
    <xf numFmtId="3" fontId="0" fillId="2" borderId="6" xfId="0" applyNumberFormat="1" applyFont="1" applyFill="1" applyBorder="1" applyAlignment="1">
      <alignment horizontal="center"/>
    </xf>
    <xf numFmtId="3" fontId="0" fillId="2" borderId="14" xfId="0" applyNumberFormat="1" applyFont="1" applyFill="1" applyBorder="1" applyAlignment="1">
      <alignment horizontal="center"/>
    </xf>
    <xf numFmtId="3" fontId="0" fillId="2" borderId="7" xfId="0" applyNumberFormat="1" applyFont="1" applyFill="1" applyBorder="1" applyAlignment="1">
      <alignment horizontal="center"/>
    </xf>
    <xf numFmtId="0" fontId="0" fillId="3" borderId="12" xfId="0" applyFont="1" applyFill="1" applyBorder="1"/>
    <xf numFmtId="167" fontId="2" fillId="2" borderId="6" xfId="1" applyNumberFormat="1" applyFont="1" applyFill="1" applyBorder="1" applyAlignment="1">
      <alignment horizontal="center"/>
    </xf>
    <xf numFmtId="167" fontId="2" fillId="2" borderId="14" xfId="1" applyNumberFormat="1" applyFont="1" applyFill="1" applyBorder="1" applyAlignment="1">
      <alignment horizontal="center"/>
    </xf>
    <xf numFmtId="167" fontId="0" fillId="2" borderId="14" xfId="0" applyNumberFormat="1" applyFont="1" applyFill="1" applyBorder="1" applyAlignment="1">
      <alignment horizontal="center"/>
    </xf>
    <xf numFmtId="167" fontId="2" fillId="2" borderId="7" xfId="1" applyNumberFormat="1" applyFont="1" applyFill="1" applyBorder="1" applyAlignment="1">
      <alignment horizontal="center"/>
    </xf>
    <xf numFmtId="167" fontId="0" fillId="2" borderId="7" xfId="1" applyNumberFormat="1" applyFont="1" applyFill="1" applyBorder="1" applyAlignment="1">
      <alignment horizontal="center"/>
    </xf>
    <xf numFmtId="0" fontId="0" fillId="11" borderId="2" xfId="0" applyFill="1" applyBorder="1"/>
    <xf numFmtId="0" fontId="0" fillId="11" borderId="4" xfId="0" applyFill="1" applyBorder="1"/>
    <xf numFmtId="167" fontId="2" fillId="2" borderId="4" xfId="1" applyNumberFormat="1" applyFont="1" applyFill="1" applyBorder="1" applyAlignment="1">
      <alignment horizontal="center"/>
    </xf>
    <xf numFmtId="167" fontId="2" fillId="2" borderId="0" xfId="1" applyNumberFormat="1" applyFont="1" applyFill="1" applyBorder="1" applyAlignment="1">
      <alignment horizontal="center"/>
    </xf>
    <xf numFmtId="167" fontId="0" fillId="2" borderId="5" xfId="1" applyNumberFormat="1" applyFont="1" applyFill="1" applyBorder="1" applyAlignment="1">
      <alignment horizontal="center"/>
    </xf>
    <xf numFmtId="0" fontId="0" fillId="2" borderId="13" xfId="0" applyFill="1" applyBorder="1" applyAlignment="1">
      <alignment horizontal="left"/>
    </xf>
    <xf numFmtId="0" fontId="0" fillId="2" borderId="14" xfId="0" applyFill="1" applyBorder="1" applyAlignment="1">
      <alignment horizontal="left"/>
    </xf>
    <xf numFmtId="0" fontId="0" fillId="11" borderId="4" xfId="0" applyFont="1" applyFill="1" applyBorder="1"/>
    <xf numFmtId="0" fontId="0" fillId="4" borderId="12" xfId="0" applyFont="1" applyFill="1" applyBorder="1"/>
    <xf numFmtId="167" fontId="0" fillId="2" borderId="14" xfId="1" applyNumberFormat="1" applyFont="1" applyFill="1" applyBorder="1" applyAlignment="1">
      <alignment horizontal="center"/>
    </xf>
    <xf numFmtId="0" fontId="0" fillId="2" borderId="1" xfId="0" applyFill="1" applyBorder="1" applyAlignment="1">
      <alignment horizontal="center" wrapText="1"/>
    </xf>
    <xf numFmtId="0" fontId="0" fillId="2" borderId="15" xfId="0" applyFill="1" applyBorder="1" applyAlignment="1">
      <alignment horizontal="center" wrapText="1"/>
    </xf>
    <xf numFmtId="1" fontId="0" fillId="2" borderId="8" xfId="0" applyNumberFormat="1" applyFill="1" applyBorder="1" applyAlignment="1">
      <alignment horizontal="center" wrapText="1"/>
    </xf>
    <xf numFmtId="1" fontId="0" fillId="2" borderId="1" xfId="0" applyNumberFormat="1" applyFill="1" applyBorder="1" applyAlignment="1">
      <alignment horizontal="center" wrapText="1"/>
    </xf>
    <xf numFmtId="0" fontId="0" fillId="10" borderId="6" xfId="0" applyFont="1" applyFill="1" applyBorder="1"/>
    <xf numFmtId="0" fontId="0" fillId="4" borderId="11" xfId="0" applyFont="1" applyFill="1" applyBorder="1"/>
    <xf numFmtId="0" fontId="0" fillId="12" borderId="12" xfId="0" applyFont="1" applyFill="1" applyBorder="1"/>
    <xf numFmtId="1" fontId="0" fillId="2" borderId="15" xfId="0" applyNumberFormat="1" applyFill="1" applyBorder="1" applyAlignment="1">
      <alignment horizontal="center" wrapText="1"/>
    </xf>
    <xf numFmtId="1" fontId="0" fillId="2" borderId="9" xfId="0" applyNumberForma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1" fillId="2" borderId="8" xfId="0" applyFont="1" applyFill="1" applyBorder="1" applyAlignment="1">
      <alignment horizontal="center" wrapText="1"/>
    </xf>
    <xf numFmtId="0" fontId="0" fillId="0" borderId="0" xfId="0" applyFont="1" applyFill="1"/>
    <xf numFmtId="9" fontId="0" fillId="0" borderId="0" xfId="1" applyNumberFormat="1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3" fontId="0" fillId="2" borderId="8" xfId="0" applyNumberFormat="1" applyFont="1" applyFill="1" applyBorder="1" applyAlignment="1">
      <alignment horizontal="right"/>
    </xf>
    <xf numFmtId="3" fontId="0" fillId="2" borderId="9" xfId="0" applyNumberFormat="1" applyFont="1" applyFill="1" applyBorder="1" applyAlignment="1">
      <alignment horizontal="left"/>
    </xf>
    <xf numFmtId="3" fontId="0" fillId="2" borderId="8" xfId="0" applyNumberFormat="1" applyFont="1" applyFill="1" applyBorder="1" applyAlignment="1">
      <alignment horizontal="center"/>
    </xf>
    <xf numFmtId="3" fontId="0" fillId="2" borderId="15" xfId="0" applyNumberFormat="1" applyFont="1" applyFill="1" applyBorder="1" applyAlignment="1">
      <alignment horizontal="left"/>
    </xf>
    <xf numFmtId="9" fontId="0" fillId="2" borderId="8" xfId="1" applyFont="1" applyFill="1" applyBorder="1" applyAlignment="1">
      <alignment horizontal="center"/>
    </xf>
    <xf numFmtId="9" fontId="0" fillId="2" borderId="15" xfId="1" applyFont="1" applyFill="1" applyBorder="1" applyAlignment="1">
      <alignment horizontal="center"/>
    </xf>
    <xf numFmtId="9" fontId="0" fillId="2" borderId="9" xfId="1" applyFont="1" applyFill="1" applyBorder="1" applyAlignment="1">
      <alignment horizontal="center"/>
    </xf>
    <xf numFmtId="0" fontId="0" fillId="2" borderId="1" xfId="0" applyFont="1" applyFill="1" applyBorder="1" applyAlignment="1">
      <alignment horizontal="right"/>
    </xf>
    <xf numFmtId="3" fontId="0" fillId="2" borderId="8" xfId="0" applyNumberFormat="1" applyFont="1" applyFill="1" applyBorder="1"/>
    <xf numFmtId="3" fontId="0" fillId="2" borderId="15" xfId="0" applyNumberFormat="1" applyFont="1" applyFill="1" applyBorder="1" applyAlignment="1">
      <alignment horizontal="center"/>
    </xf>
    <xf numFmtId="0" fontId="0" fillId="2" borderId="1" xfId="0" applyFont="1" applyFill="1" applyBorder="1" applyAlignment="1">
      <alignment horizontal="right" wrapText="1"/>
    </xf>
    <xf numFmtId="0" fontId="0" fillId="2" borderId="1" xfId="0" applyFill="1" applyBorder="1" applyAlignment="1">
      <alignment horizontal="center" wrapText="1"/>
    </xf>
    <xf numFmtId="9" fontId="0" fillId="0" borderId="1" xfId="1" applyFont="1" applyFill="1" applyBorder="1" applyAlignment="1">
      <alignment horizontal="center"/>
    </xf>
    <xf numFmtId="0" fontId="0" fillId="0" borderId="0" xfId="0" applyBorder="1" applyAlignment="1"/>
    <xf numFmtId="0" fontId="0" fillId="2" borderId="1" xfId="0" applyFill="1" applyBorder="1" applyAlignment="1">
      <alignment horizontal="center" wrapText="1"/>
    </xf>
    <xf numFmtId="0" fontId="0" fillId="0" borderId="0" xfId="0" applyFill="1" applyBorder="1" applyAlignment="1">
      <alignment wrapText="1"/>
    </xf>
    <xf numFmtId="167" fontId="0" fillId="2" borderId="0" xfId="1" applyNumberFormat="1" applyFont="1" applyFill="1" applyBorder="1" applyAlignment="1">
      <alignment horizontal="center"/>
    </xf>
    <xf numFmtId="167" fontId="0" fillId="0" borderId="0" xfId="1" applyNumberFormat="1" applyFont="1" applyFill="1" applyBorder="1" applyAlignment="1">
      <alignment horizontal="left"/>
    </xf>
    <xf numFmtId="164" fontId="0" fillId="2" borderId="0" xfId="0" applyNumberFormat="1" applyFill="1"/>
    <xf numFmtId="164" fontId="0" fillId="0" borderId="0" xfId="0" applyNumberFormat="1"/>
    <xf numFmtId="167" fontId="0" fillId="0" borderId="0" xfId="1" applyNumberFormat="1" applyFont="1" applyAlignment="1">
      <alignment horizontal="center"/>
    </xf>
    <xf numFmtId="9" fontId="0" fillId="2" borderId="0" xfId="1" applyFont="1" applyFill="1" applyAlignment="1">
      <alignment horizontal="center"/>
    </xf>
    <xf numFmtId="0" fontId="1" fillId="2" borderId="1" xfId="0" applyFont="1" applyFill="1" applyBorder="1" applyAlignment="1">
      <alignment horizontal="left"/>
    </xf>
    <xf numFmtId="3" fontId="1" fillId="2" borderId="1" xfId="0" applyNumberFormat="1" applyFont="1" applyFill="1" applyBorder="1" applyAlignment="1">
      <alignment horizontal="left"/>
    </xf>
    <xf numFmtId="9" fontId="1" fillId="2" borderId="1" xfId="1" applyFont="1" applyFill="1" applyBorder="1" applyAlignment="1">
      <alignment horizontal="center"/>
    </xf>
    <xf numFmtId="3" fontId="0" fillId="2" borderId="1" xfId="0" applyNumberFormat="1" applyFont="1" applyFill="1" applyBorder="1"/>
    <xf numFmtId="164" fontId="1" fillId="2" borderId="8" xfId="0" applyNumberFormat="1" applyFont="1" applyFill="1" applyBorder="1" applyAlignment="1">
      <alignment horizontal="center"/>
    </xf>
    <xf numFmtId="164" fontId="1" fillId="2" borderId="15" xfId="0" applyNumberFormat="1" applyFont="1" applyFill="1" applyBorder="1" applyAlignment="1">
      <alignment horizontal="center"/>
    </xf>
    <xf numFmtId="164" fontId="1" fillId="2" borderId="9" xfId="0" applyNumberFormat="1" applyFont="1" applyFill="1" applyBorder="1" applyAlignment="1">
      <alignment horizontal="center"/>
    </xf>
    <xf numFmtId="3" fontId="0" fillId="0" borderId="4" xfId="0" applyNumberFormat="1" applyFont="1" applyFill="1" applyBorder="1" applyAlignment="1">
      <alignment horizontal="center"/>
    </xf>
    <xf numFmtId="3" fontId="1" fillId="2" borderId="8" xfId="0" applyNumberFormat="1" applyFont="1" applyFill="1" applyBorder="1" applyAlignment="1">
      <alignment horizontal="left"/>
    </xf>
    <xf numFmtId="4" fontId="1" fillId="2" borderId="8" xfId="0" applyNumberFormat="1" applyFont="1" applyFill="1" applyBorder="1" applyAlignment="1">
      <alignment horizontal="center"/>
    </xf>
    <xf numFmtId="4" fontId="1" fillId="2" borderId="15" xfId="0" applyNumberFormat="1" applyFont="1" applyFill="1" applyBorder="1" applyAlignment="1">
      <alignment horizontal="center"/>
    </xf>
    <xf numFmtId="4" fontId="1" fillId="2" borderId="9" xfId="0" applyNumberFormat="1" applyFont="1" applyFill="1" applyBorder="1" applyAlignment="1">
      <alignment horizontal="center"/>
    </xf>
    <xf numFmtId="0" fontId="1" fillId="2" borderId="0" xfId="0" applyFont="1" applyFill="1" applyBorder="1"/>
    <xf numFmtId="2" fontId="1" fillId="2" borderId="0" xfId="0" applyNumberFormat="1" applyFont="1" applyFill="1" applyBorder="1"/>
    <xf numFmtId="0" fontId="0" fillId="2" borderId="0" xfId="0" applyFont="1" applyFill="1" applyBorder="1"/>
    <xf numFmtId="9" fontId="0" fillId="2" borderId="13" xfId="1" applyFont="1" applyFill="1" applyBorder="1" applyAlignment="1">
      <alignment horizontal="center"/>
    </xf>
    <xf numFmtId="9" fontId="2" fillId="2" borderId="0" xfId="1" applyFont="1" applyFill="1" applyBorder="1" applyAlignment="1">
      <alignment horizontal="center"/>
    </xf>
    <xf numFmtId="0" fontId="1" fillId="2" borderId="14" xfId="0" applyFont="1" applyFill="1" applyBorder="1"/>
    <xf numFmtId="0" fontId="1" fillId="2" borderId="5" xfId="0" applyFont="1" applyFill="1" applyBorder="1"/>
    <xf numFmtId="3" fontId="1" fillId="2" borderId="11" xfId="0" applyNumberFormat="1" applyFont="1" applyFill="1" applyBorder="1" applyAlignment="1">
      <alignment horizontal="center"/>
    </xf>
    <xf numFmtId="164" fontId="1" fillId="2" borderId="11" xfId="0" applyNumberFormat="1" applyFont="1" applyFill="1" applyBorder="1" applyAlignment="1">
      <alignment horizontal="center"/>
    </xf>
    <xf numFmtId="0" fontId="1" fillId="2" borderId="12" xfId="0" applyFont="1" applyFill="1" applyBorder="1"/>
    <xf numFmtId="0" fontId="0" fillId="2" borderId="1" xfId="0" quotePrefix="1" applyFill="1" applyBorder="1"/>
    <xf numFmtId="0" fontId="0" fillId="2" borderId="15" xfId="0" applyFill="1" applyBorder="1"/>
    <xf numFmtId="165" fontId="1" fillId="0" borderId="0" xfId="0" applyNumberFormat="1" applyFont="1" applyFill="1" applyBorder="1" applyAlignment="1">
      <alignment horizontal="center"/>
    </xf>
    <xf numFmtId="165" fontId="0" fillId="0" borderId="0" xfId="0" applyNumberFormat="1" applyFont="1" applyFill="1" applyBorder="1" applyAlignment="1">
      <alignment horizontal="center"/>
    </xf>
    <xf numFmtId="167" fontId="3" fillId="0" borderId="0" xfId="1" applyNumberFormat="1" applyFont="1" applyFill="1" applyBorder="1" applyAlignment="1">
      <alignment horizontal="left"/>
    </xf>
    <xf numFmtId="3" fontId="3" fillId="0" borderId="0" xfId="0" applyNumberFormat="1" applyFont="1" applyFill="1" applyBorder="1" applyAlignment="1">
      <alignment horizontal="left"/>
    </xf>
    <xf numFmtId="0" fontId="3" fillId="0" borderId="0" xfId="0" applyFont="1" applyFill="1" applyAlignment="1">
      <alignment horizontal="left"/>
    </xf>
    <xf numFmtId="167" fontId="0" fillId="0" borderId="0" xfId="1" applyNumberFormat="1" applyFont="1" applyFill="1" applyAlignment="1">
      <alignment horizontal="center"/>
    </xf>
    <xf numFmtId="9" fontId="0" fillId="2" borderId="0" xfId="1" applyNumberFormat="1" applyFont="1" applyFill="1" applyAlignment="1">
      <alignment horizontal="center"/>
    </xf>
    <xf numFmtId="9" fontId="1" fillId="2" borderId="0" xfId="1" applyNumberFormat="1" applyFont="1" applyFill="1" applyAlignment="1">
      <alignment horizontal="center"/>
    </xf>
    <xf numFmtId="0" fontId="0" fillId="0" borderId="0" xfId="0" applyFill="1" applyBorder="1" applyAlignment="1">
      <alignment horizontal="center" wrapText="1"/>
    </xf>
    <xf numFmtId="9" fontId="1" fillId="2" borderId="1" xfId="1" applyNumberFormat="1" applyFont="1" applyFill="1" applyBorder="1" applyAlignment="1">
      <alignment horizontal="center"/>
    </xf>
    <xf numFmtId="0" fontId="1" fillId="0" borderId="0" xfId="0" applyFont="1"/>
    <xf numFmtId="0" fontId="8" fillId="0" borderId="0" xfId="0" applyFont="1" applyFill="1" applyBorder="1" applyAlignment="1">
      <alignment horizontal="left"/>
    </xf>
    <xf numFmtId="0" fontId="9" fillId="0" borderId="0" xfId="0" applyFont="1" applyFill="1" applyBorder="1" applyAlignment="1">
      <alignment horizontal="left"/>
    </xf>
    <xf numFmtId="0" fontId="7" fillId="0" borderId="0" xfId="0" applyFont="1"/>
    <xf numFmtId="0" fontId="10" fillId="0" borderId="0" xfId="0" applyFont="1"/>
    <xf numFmtId="3" fontId="0" fillId="2" borderId="8" xfId="0" applyNumberFormat="1" applyFill="1" applyBorder="1" applyAlignment="1">
      <alignment horizontal="center"/>
    </xf>
    <xf numFmtId="3" fontId="0" fillId="2" borderId="9" xfId="0" applyNumberFormat="1" applyFill="1" applyBorder="1" applyAlignment="1">
      <alignment horizontal="center"/>
    </xf>
    <xf numFmtId="0" fontId="0" fillId="2" borderId="8" xfId="0" applyFill="1" applyBorder="1" applyAlignment="1">
      <alignment horizontal="left" wrapText="1"/>
    </xf>
    <xf numFmtId="0" fontId="0" fillId="2" borderId="15" xfId="0" applyFill="1" applyBorder="1" applyAlignment="1">
      <alignment horizontal="left"/>
    </xf>
    <xf numFmtId="0" fontId="0" fillId="2" borderId="9" xfId="0" applyFill="1" applyBorder="1" applyAlignment="1">
      <alignment horizontal="left"/>
    </xf>
    <xf numFmtId="0" fontId="0" fillId="10" borderId="1" xfId="0" applyFill="1" applyBorder="1" applyAlignment="1"/>
    <xf numFmtId="0" fontId="0" fillId="2" borderId="1" xfId="0" applyFill="1" applyBorder="1" applyAlignment="1">
      <alignment horizontal="left" wrapText="1"/>
    </xf>
    <xf numFmtId="0" fontId="0" fillId="2" borderId="1" xfId="0" applyFill="1" applyBorder="1" applyAlignment="1">
      <alignment horizontal="left"/>
    </xf>
    <xf numFmtId="0" fontId="0" fillId="0" borderId="2" xfId="0" applyBorder="1" applyAlignment="1">
      <alignment horizontal="left" wrapText="1"/>
    </xf>
    <xf numFmtId="0" fontId="0" fillId="0" borderId="13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14" xfId="0" applyBorder="1" applyAlignment="1">
      <alignment horizontal="left"/>
    </xf>
    <xf numFmtId="0" fontId="0" fillId="0" borderId="7" xfId="0" applyBorder="1" applyAlignment="1">
      <alignment horizontal="left"/>
    </xf>
    <xf numFmtId="0" fontId="0" fillId="4" borderId="1" xfId="0" applyFill="1" applyBorder="1" applyAlignment="1"/>
    <xf numFmtId="0" fontId="0" fillId="9" borderId="1" xfId="0" applyFill="1" applyBorder="1" applyAlignment="1"/>
    <xf numFmtId="0" fontId="0" fillId="3" borderId="12" xfId="0" applyFill="1" applyBorder="1" applyAlignment="1"/>
    <xf numFmtId="0" fontId="0" fillId="3" borderId="1" xfId="0" applyFill="1" applyBorder="1" applyAlignment="1"/>
    <xf numFmtId="0" fontId="0" fillId="11" borderId="1" xfId="0" applyFill="1" applyBorder="1" applyAlignment="1"/>
    <xf numFmtId="0" fontId="0" fillId="4" borderId="8" xfId="0" applyFill="1" applyBorder="1" applyAlignment="1">
      <alignment horizontal="left"/>
    </xf>
    <xf numFmtId="0" fontId="0" fillId="4" borderId="15" xfId="0" applyFill="1" applyBorder="1" applyAlignment="1">
      <alignment horizontal="left"/>
    </xf>
    <xf numFmtId="0" fontId="0" fillId="4" borderId="9" xfId="0" applyFill="1" applyBorder="1" applyAlignment="1">
      <alignment horizontal="left"/>
    </xf>
    <xf numFmtId="0" fontId="0" fillId="0" borderId="2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5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14" xfId="0" applyBorder="1" applyAlignment="1">
      <alignment horizontal="center" wrapText="1"/>
    </xf>
    <xf numFmtId="0" fontId="0" fillId="0" borderId="7" xfId="0" applyBorder="1" applyAlignment="1">
      <alignment horizontal="center" wrapText="1"/>
    </xf>
    <xf numFmtId="0" fontId="0" fillId="2" borderId="8" xfId="0" applyFill="1" applyBorder="1" applyAlignment="1">
      <alignment horizontal="center" wrapText="1"/>
    </xf>
    <xf numFmtId="0" fontId="0" fillId="2" borderId="15" xfId="0" applyFill="1" applyBorder="1" applyAlignment="1">
      <alignment horizontal="center" wrapText="1"/>
    </xf>
    <xf numFmtId="0" fontId="0" fillId="2" borderId="9" xfId="0" applyFill="1" applyBorder="1" applyAlignment="1">
      <alignment horizontal="center" wrapText="1"/>
    </xf>
    <xf numFmtId="0" fontId="0" fillId="3" borderId="8" xfId="0" applyFill="1" applyBorder="1" applyAlignment="1">
      <alignment horizontal="center"/>
    </xf>
    <xf numFmtId="0" fontId="0" fillId="3" borderId="15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0" fillId="11" borderId="8" xfId="0" applyFill="1" applyBorder="1" applyAlignment="1">
      <alignment horizontal="center"/>
    </xf>
    <xf numFmtId="0" fontId="0" fillId="11" borderId="15" xfId="0" applyFill="1" applyBorder="1" applyAlignment="1">
      <alignment horizontal="center"/>
    </xf>
    <xf numFmtId="0" fontId="0" fillId="11" borderId="9" xfId="0" applyFill="1" applyBorder="1" applyAlignment="1">
      <alignment horizontal="center"/>
    </xf>
    <xf numFmtId="0" fontId="0" fillId="10" borderId="8" xfId="0" applyFill="1" applyBorder="1" applyAlignment="1">
      <alignment horizontal="center"/>
    </xf>
    <xf numFmtId="0" fontId="0" fillId="10" borderId="15" xfId="0" applyFill="1" applyBorder="1" applyAlignment="1">
      <alignment horizontal="center"/>
    </xf>
    <xf numFmtId="0" fontId="0" fillId="10" borderId="9" xfId="0" applyFill="1" applyBorder="1" applyAlignment="1">
      <alignment horizontal="center"/>
    </xf>
    <xf numFmtId="165" fontId="0" fillId="2" borderId="1" xfId="0" applyNumberFormat="1" applyFill="1" applyBorder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15" xfId="0" applyFill="1" applyBorder="1" applyAlignment="1">
      <alignment horizontal="center"/>
    </xf>
    <xf numFmtId="0" fontId="0" fillId="4" borderId="9" xfId="0" applyFill="1" applyBorder="1" applyAlignment="1">
      <alignment horizontal="center"/>
    </xf>
    <xf numFmtId="0" fontId="0" fillId="9" borderId="8" xfId="0" applyFill="1" applyBorder="1" applyAlignment="1">
      <alignment horizontal="center"/>
    </xf>
    <xf numFmtId="0" fontId="0" fillId="9" borderId="15" xfId="0" applyFill="1" applyBorder="1" applyAlignment="1">
      <alignment horizontal="center"/>
    </xf>
    <xf numFmtId="0" fontId="0" fillId="9" borderId="9" xfId="0" applyFill="1" applyBorder="1" applyAlignment="1">
      <alignment horizontal="center"/>
    </xf>
    <xf numFmtId="0" fontId="8" fillId="0" borderId="13" xfId="0" applyFont="1" applyBorder="1" applyAlignment="1">
      <alignment vertical="top" wrapText="1"/>
    </xf>
    <xf numFmtId="0" fontId="3" fillId="0" borderId="13" xfId="0" applyFont="1" applyBorder="1" applyAlignment="1">
      <alignment vertical="top" wrapText="1"/>
    </xf>
    <xf numFmtId="0" fontId="3" fillId="0" borderId="0" xfId="0" applyFont="1" applyBorder="1" applyAlignment="1">
      <alignment vertical="top" wrapText="1"/>
    </xf>
    <xf numFmtId="9" fontId="0" fillId="2" borderId="10" xfId="1" applyFont="1" applyFill="1" applyBorder="1" applyAlignment="1">
      <alignment horizontal="center"/>
    </xf>
    <xf numFmtId="9" fontId="0" fillId="2" borderId="11" xfId="1" applyFont="1" applyFill="1" applyBorder="1" applyAlignment="1">
      <alignment horizontal="center"/>
    </xf>
    <xf numFmtId="9" fontId="0" fillId="2" borderId="12" xfId="1" applyFont="1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167" fontId="0" fillId="2" borderId="10" xfId="1" applyNumberFormat="1" applyFont="1" applyFill="1" applyBorder="1" applyAlignment="1">
      <alignment horizontal="center"/>
    </xf>
    <xf numFmtId="167" fontId="0" fillId="2" borderId="11" xfId="1" applyNumberFormat="1" applyFont="1" applyFill="1" applyBorder="1" applyAlignment="1">
      <alignment horizontal="center"/>
    </xf>
    <xf numFmtId="167" fontId="0" fillId="2" borderId="12" xfId="1" applyNumberFormat="1" applyFont="1" applyFill="1" applyBorder="1" applyAlignment="1">
      <alignment horizontal="center"/>
    </xf>
  </cellXfs>
  <cellStyles count="3">
    <cellStyle name="Milliers" xfId="2" builtinId="3"/>
    <cellStyle name="Normal" xfId="0" builtinId="0"/>
    <cellStyle name="Pourcentag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1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2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4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5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6.xml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r>
              <a:rPr lang="fr-FR"/>
              <a:t>Céréales</a:t>
            </a:r>
          </a:p>
        </c:rich>
      </c:tx>
      <c:layout>
        <c:manualLayout>
          <c:xMode val="edge"/>
          <c:yMode val="edge"/>
          <c:x val="0.4416526684164479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1297516277451004"/>
          <c:y val="2.5694444444444443E-2"/>
          <c:w val="0.83539393163984632"/>
          <c:h val="0.88804060950714492"/>
        </c:manualLayout>
      </c:layout>
      <c:lineChart>
        <c:grouping val="standard"/>
        <c:varyColors val="0"/>
        <c:ser>
          <c:idx val="0"/>
          <c:order val="0"/>
          <c:tx>
            <c:strRef>
              <c:f>'Hypothèses conso'!$B$80</c:f>
              <c:strCache>
                <c:ptCount val="1"/>
                <c:pt idx="0">
                  <c:v>constaté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'Hypothèses conso'!$C$79:$W$79</c:f>
              <c:numCache>
                <c:formatCode>0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'Hypothèses conso'!$C$80:$W$80</c:f>
              <c:numCache>
                <c:formatCode>0.0</c:formatCode>
                <c:ptCount val="21"/>
                <c:pt idx="0">
                  <c:v>113.50000000000001</c:v>
                </c:pt>
                <c:pt idx="1">
                  <c:v>113.69999999999999</c:v>
                </c:pt>
                <c:pt idx="2">
                  <c:v>112.7</c:v>
                </c:pt>
                <c:pt idx="3">
                  <c:v>113.5</c:v>
                </c:pt>
                <c:pt idx="4">
                  <c:v>118.4</c:v>
                </c:pt>
                <c:pt idx="5">
                  <c:v>113</c:v>
                </c:pt>
                <c:pt idx="6">
                  <c:v>113.5</c:v>
                </c:pt>
                <c:pt idx="7">
                  <c:v>115.49999999999999</c:v>
                </c:pt>
                <c:pt idx="8">
                  <c:v>119.89999999999999</c:v>
                </c:pt>
                <c:pt idx="9">
                  <c:v>119.4</c:v>
                </c:pt>
                <c:pt idx="10">
                  <c:v>120.80000000000001</c:v>
                </c:pt>
                <c:pt idx="11">
                  <c:v>116.3</c:v>
                </c:pt>
                <c:pt idx="12">
                  <c:v>116.7</c:v>
                </c:pt>
                <c:pt idx="13">
                  <c:v>116.71250000000001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56-4DE9-9BDC-7263826D549F}"/>
            </c:ext>
          </c:extLst>
        </c:ser>
        <c:ser>
          <c:idx val="1"/>
          <c:order val="1"/>
          <c:tx>
            <c:strRef>
              <c:f>'Hypothèses conso'!$B$81</c:f>
              <c:strCache>
                <c:ptCount val="1"/>
                <c:pt idx="0">
                  <c:v>tendanciel 2030</c:v>
                </c:pt>
              </c:strCache>
            </c:strRef>
          </c:tx>
          <c:spPr>
            <a:ln w="19050" cap="rnd">
              <a:solidFill>
                <a:schemeClr val="accent5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'Hypothèses conso'!$C$79:$W$79</c:f>
              <c:numCache>
                <c:formatCode>0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'Hypothèses conso'!$C$81:$W$81</c:f>
              <c:numCache>
                <c:formatCode>0.0</c:formatCode>
                <c:ptCount val="21"/>
                <c:pt idx="13">
                  <c:v>116.71250000000001</c:v>
                </c:pt>
                <c:pt idx="14">
                  <c:v>116.72500000000001</c:v>
                </c:pt>
                <c:pt idx="15">
                  <c:v>116.7375</c:v>
                </c:pt>
                <c:pt idx="16">
                  <c:v>116.75</c:v>
                </c:pt>
                <c:pt idx="17">
                  <c:v>116.7625</c:v>
                </c:pt>
                <c:pt idx="18">
                  <c:v>116.77500000000001</c:v>
                </c:pt>
                <c:pt idx="19">
                  <c:v>116.78749999999999</c:v>
                </c:pt>
                <c:pt idx="20">
                  <c:v>116.8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56-4DE9-9BDC-7263826D549F}"/>
            </c:ext>
          </c:extLst>
        </c:ser>
        <c:ser>
          <c:idx val="2"/>
          <c:order val="2"/>
          <c:tx>
            <c:strRef>
              <c:f>'Hypothèses conso'!$B$82</c:f>
              <c:strCache>
                <c:ptCount val="1"/>
                <c:pt idx="0">
                  <c:v>projection 2030</c:v>
                </c:pt>
              </c:strCache>
            </c:strRef>
          </c:tx>
          <c:spPr>
            <a:ln w="19050" cap="rnd">
              <a:solidFill>
                <a:srgbClr val="00B05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'Hypothèses conso'!$C$79:$W$79</c:f>
              <c:numCache>
                <c:formatCode>0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'Hypothèses conso'!$C$82:$W$82</c:f>
              <c:numCache>
                <c:formatCode>0.0</c:formatCode>
                <c:ptCount val="21"/>
                <c:pt idx="13">
                  <c:v>116.71250000000001</c:v>
                </c:pt>
                <c:pt idx="14">
                  <c:v>117.55928571428572</c:v>
                </c:pt>
                <c:pt idx="15">
                  <c:v>118.40607142857144</c:v>
                </c:pt>
                <c:pt idx="16">
                  <c:v>119.25285714285715</c:v>
                </c:pt>
                <c:pt idx="17">
                  <c:v>120.09964285714285</c:v>
                </c:pt>
                <c:pt idx="18">
                  <c:v>120.94642857142857</c:v>
                </c:pt>
                <c:pt idx="19">
                  <c:v>121.79321428571428</c:v>
                </c:pt>
                <c:pt idx="20">
                  <c:v>122.64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56-4DE9-9BDC-7263826D54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0097200"/>
        <c:axId val="620095560"/>
      </c:lineChart>
      <c:catAx>
        <c:axId val="6200972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620095560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620095560"/>
        <c:scaling>
          <c:orientation val="minMax"/>
          <c:min val="10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620097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5391900073995108E-2"/>
          <c:y val="0.75411442922466532"/>
          <c:w val="0.91460809992600489"/>
          <c:h val="0.134493170354653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3175" cap="flat" cmpd="sng" algn="ctr">
      <a:solidFill>
        <a:schemeClr val="accent5"/>
      </a:solidFill>
      <a:round/>
    </a:ln>
    <a:effectLst/>
  </c:spPr>
  <c:txPr>
    <a:bodyPr/>
    <a:lstStyle/>
    <a:p>
      <a:pPr>
        <a:defRPr sz="800" baseline="0"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r>
              <a:rPr lang="fr-FR"/>
              <a:t>Lait et produits laitiers</a:t>
            </a:r>
          </a:p>
        </c:rich>
      </c:tx>
      <c:layout>
        <c:manualLayout>
          <c:xMode val="edge"/>
          <c:yMode val="edge"/>
          <c:x val="0.382361111111111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8.4226815398075236E-2"/>
          <c:y val="2.5694444444444443E-2"/>
          <c:w val="0.91577318460192481"/>
          <c:h val="0.88804060950714492"/>
        </c:manualLayout>
      </c:layout>
      <c:lineChart>
        <c:grouping val="standard"/>
        <c:varyColors val="0"/>
        <c:ser>
          <c:idx val="0"/>
          <c:order val="0"/>
          <c:tx>
            <c:strRef>
              <c:f>'Hypothèses conso'!$B$107</c:f>
              <c:strCache>
                <c:ptCount val="1"/>
                <c:pt idx="0">
                  <c:v>constaté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'Hypothèses conso'!$C$79:$W$79</c:f>
              <c:numCache>
                <c:formatCode>0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'Hypothèses conso'!$C$107:$W$107</c:f>
              <c:numCache>
                <c:formatCode>0.0</c:formatCode>
                <c:ptCount val="21"/>
                <c:pt idx="0">
                  <c:v>356.90700585542027</c:v>
                </c:pt>
                <c:pt idx="1">
                  <c:v>356.01510984118306</c:v>
                </c:pt>
                <c:pt idx="2">
                  <c:v>354.72110650832559</c:v>
                </c:pt>
                <c:pt idx="3">
                  <c:v>353.93994538638594</c:v>
                </c:pt>
                <c:pt idx="4">
                  <c:v>360.13449215740792</c:v>
                </c:pt>
                <c:pt idx="5">
                  <c:v>355.08771550963172</c:v>
                </c:pt>
                <c:pt idx="6">
                  <c:v>347.27314324950345</c:v>
                </c:pt>
                <c:pt idx="7">
                  <c:v>346.41117043054464</c:v>
                </c:pt>
                <c:pt idx="8">
                  <c:v>345.21500000000003</c:v>
                </c:pt>
                <c:pt idx="9">
                  <c:v>367.89000000000004</c:v>
                </c:pt>
                <c:pt idx="10">
                  <c:v>354.35</c:v>
                </c:pt>
                <c:pt idx="11">
                  <c:v>368</c:v>
                </c:pt>
                <c:pt idx="12">
                  <c:v>362.1</c:v>
                </c:pt>
                <c:pt idx="13">
                  <c:v>362.5625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C1-4B20-8679-851640389A3F}"/>
            </c:ext>
          </c:extLst>
        </c:ser>
        <c:ser>
          <c:idx val="1"/>
          <c:order val="1"/>
          <c:tx>
            <c:strRef>
              <c:f>'Hypothèses conso'!$B$108</c:f>
              <c:strCache>
                <c:ptCount val="1"/>
                <c:pt idx="0">
                  <c:v>tendanciel 2030</c:v>
                </c:pt>
              </c:strCache>
            </c:strRef>
          </c:tx>
          <c:spPr>
            <a:ln w="19050" cap="rnd">
              <a:solidFill>
                <a:schemeClr val="accent5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'Hypothèses conso'!$C$79:$W$79</c:f>
              <c:numCache>
                <c:formatCode>0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'Hypothèses conso'!$C$108:$W$108</c:f>
              <c:numCache>
                <c:formatCode>0.0</c:formatCode>
                <c:ptCount val="21"/>
                <c:pt idx="13">
                  <c:v>362.5625</c:v>
                </c:pt>
                <c:pt idx="14">
                  <c:v>362.19642857142856</c:v>
                </c:pt>
                <c:pt idx="15">
                  <c:v>361.83035714285717</c:v>
                </c:pt>
                <c:pt idx="16">
                  <c:v>361.46428571428572</c:v>
                </c:pt>
                <c:pt idx="17">
                  <c:v>361.09821428571428</c:v>
                </c:pt>
                <c:pt idx="18">
                  <c:v>360.73214285714283</c:v>
                </c:pt>
                <c:pt idx="19">
                  <c:v>360.36607142857144</c:v>
                </c:pt>
                <c:pt idx="20">
                  <c:v>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C1-4B20-8679-851640389A3F}"/>
            </c:ext>
          </c:extLst>
        </c:ser>
        <c:ser>
          <c:idx val="2"/>
          <c:order val="2"/>
          <c:tx>
            <c:strRef>
              <c:f>'Hypothèses conso'!$B$109</c:f>
              <c:strCache>
                <c:ptCount val="1"/>
                <c:pt idx="0">
                  <c:v>projection 2030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'Hypothèses conso'!$C$79:$W$79</c:f>
              <c:numCache>
                <c:formatCode>0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'Hypothèses conso'!$C$109:$W$109</c:f>
              <c:numCache>
                <c:formatCode>0.0</c:formatCode>
                <c:ptCount val="21"/>
                <c:pt idx="13">
                  <c:v>362.5625</c:v>
                </c:pt>
                <c:pt idx="14">
                  <c:v>357.05357142857144</c:v>
                </c:pt>
                <c:pt idx="15">
                  <c:v>351.54464285714283</c:v>
                </c:pt>
                <c:pt idx="16">
                  <c:v>346.03571428571428</c:v>
                </c:pt>
                <c:pt idx="17">
                  <c:v>340.52678571428572</c:v>
                </c:pt>
                <c:pt idx="18">
                  <c:v>335.01785714285717</c:v>
                </c:pt>
                <c:pt idx="19">
                  <c:v>329.50892857142856</c:v>
                </c:pt>
                <c:pt idx="20">
                  <c:v>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C1-4B20-8679-851640389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0097200"/>
        <c:axId val="620095560"/>
      </c:lineChart>
      <c:catAx>
        <c:axId val="6200972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620095560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620095560"/>
        <c:scaling>
          <c:orientation val="minMax"/>
          <c:max val="400"/>
          <c:min val="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620097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045538057742785"/>
          <c:y val="0.78817932032487803"/>
          <c:w val="0.83853368328958877"/>
          <c:h val="0.13536316111515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3175" cap="flat" cmpd="sng" algn="ctr">
      <a:solidFill>
        <a:schemeClr val="accent5"/>
      </a:solidFill>
      <a:round/>
    </a:ln>
    <a:effectLst/>
  </c:spPr>
  <c:txPr>
    <a:bodyPr/>
    <a:lstStyle/>
    <a:p>
      <a:pPr>
        <a:defRPr sz="800" baseline="0"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108923884514429E-2"/>
          <c:y val="0.18792208868628263"/>
          <c:w val="0.90789107611548558"/>
          <c:h val="0.78638191278721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'Hypothèses production'!$A$181:$A$186</c:f>
              <c:strCache>
                <c:ptCount val="6"/>
                <c:pt idx="0">
                  <c:v>Viande bovine</c:v>
                </c:pt>
                <c:pt idx="1">
                  <c:v>Viande porcine</c:v>
                </c:pt>
                <c:pt idx="2">
                  <c:v>Viande de volailles</c:v>
                </c:pt>
                <c:pt idx="3">
                  <c:v>Viande ovine et caprine</c:v>
                </c:pt>
                <c:pt idx="4">
                  <c:v>Œufs</c:v>
                </c:pt>
                <c:pt idx="5">
                  <c:v>Lait et produits laitiers</c:v>
                </c:pt>
              </c:strCache>
            </c:strRef>
          </c:cat>
          <c:val>
            <c:numRef>
              <c:f>'Hypothèses production'!$D$181:$D$186</c:f>
              <c:numCache>
                <c:formatCode>0%</c:formatCode>
                <c:ptCount val="6"/>
                <c:pt idx="0">
                  <c:v>-0.19381472054670335</c:v>
                </c:pt>
                <c:pt idx="1">
                  <c:v>-0.10126049022759775</c:v>
                </c:pt>
                <c:pt idx="2">
                  <c:v>-0.11078325709410952</c:v>
                </c:pt>
                <c:pt idx="3">
                  <c:v>-0.34625929340213346</c:v>
                </c:pt>
                <c:pt idx="4">
                  <c:v>-0.13575060659999549</c:v>
                </c:pt>
                <c:pt idx="5">
                  <c:v>-0.11391608510500961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AE-45D0-8008-EB695420B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53767784"/>
        <c:axId val="853757944"/>
      </c:barChart>
      <c:catAx>
        <c:axId val="853767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53757944"/>
        <c:crosses val="autoZero"/>
        <c:auto val="1"/>
        <c:lblAlgn val="ctr"/>
        <c:lblOffset val="100"/>
        <c:noMultiLvlLbl val="0"/>
      </c:catAx>
      <c:valAx>
        <c:axId val="853757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53767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3175" cap="flat" cmpd="sng" algn="ctr">
      <a:solidFill>
        <a:schemeClr val="accent5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998344801494403E-2"/>
          <c:y val="2.4492841404857836E-2"/>
          <c:w val="0.90797963317648356"/>
          <c:h val="0.810603323414004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'Hypothèses production'!$A$145:$A$162</c:f>
              <c:strCache>
                <c:ptCount val="18"/>
                <c:pt idx="0">
                  <c:v>blé tendre</c:v>
                </c:pt>
                <c:pt idx="1">
                  <c:v>blé dur</c:v>
                </c:pt>
                <c:pt idx="2">
                  <c:v>autres céréales</c:v>
                </c:pt>
                <c:pt idx="3">
                  <c:v>huile colza</c:v>
                </c:pt>
                <c:pt idx="4">
                  <c:v>huile tournesol</c:v>
                </c:pt>
                <c:pt idx="5">
                  <c:v>soja</c:v>
                </c:pt>
                <c:pt idx="6">
                  <c:v>légumes secs</c:v>
                </c:pt>
                <c:pt idx="7">
                  <c:v>chou fleur et brocolis</c:v>
                </c:pt>
                <c:pt idx="8">
                  <c:v>pomme de terre</c:v>
                </c:pt>
                <c:pt idx="9">
                  <c:v>courgette</c:v>
                </c:pt>
                <c:pt idx="10">
                  <c:v>salade</c:v>
                </c:pt>
                <c:pt idx="11">
                  <c:v>tomate</c:v>
                </c:pt>
                <c:pt idx="12">
                  <c:v>poireau</c:v>
                </c:pt>
                <c:pt idx="13">
                  <c:v>carotte</c:v>
                </c:pt>
                <c:pt idx="14">
                  <c:v>abricot</c:v>
                </c:pt>
                <c:pt idx="15">
                  <c:v>pêche*</c:v>
                </c:pt>
                <c:pt idx="16">
                  <c:v>pomme</c:v>
                </c:pt>
                <c:pt idx="17">
                  <c:v>poire</c:v>
                </c:pt>
              </c:strCache>
            </c:strRef>
          </c:cat>
          <c:val>
            <c:numRef>
              <c:f>'Hypothèses production'!$D$145:$D$162</c:f>
              <c:numCache>
                <c:formatCode>0%</c:formatCode>
                <c:ptCount val="18"/>
                <c:pt idx="0">
                  <c:v>-0.11918490045637753</c:v>
                </c:pt>
                <c:pt idx="1">
                  <c:v>0.30738108217583782</c:v>
                </c:pt>
                <c:pt idx="2">
                  <c:v>-0.22228919015984183</c:v>
                </c:pt>
                <c:pt idx="3">
                  <c:v>-1.4096889364275333E-2</c:v>
                </c:pt>
                <c:pt idx="4">
                  <c:v>0.14204912104104506</c:v>
                </c:pt>
                <c:pt idx="5">
                  <c:v>1.6327001761692448</c:v>
                </c:pt>
                <c:pt idx="6">
                  <c:v>-0.18047932067254335</c:v>
                </c:pt>
                <c:pt idx="7">
                  <c:v>0.14441916437892544</c:v>
                </c:pt>
                <c:pt idx="8">
                  <c:v>0.51292891752813197</c:v>
                </c:pt>
                <c:pt idx="9">
                  <c:v>2.6459649800556484E-3</c:v>
                </c:pt>
                <c:pt idx="10">
                  <c:v>-0.29254169475912628</c:v>
                </c:pt>
                <c:pt idx="11">
                  <c:v>4.9515933821482117E-2</c:v>
                </c:pt>
                <c:pt idx="12">
                  <c:v>-8.422751866590561E-2</c:v>
                </c:pt>
                <c:pt idx="13">
                  <c:v>1.053047747093383E-2</c:v>
                </c:pt>
                <c:pt idx="14">
                  <c:v>-0.50438330647664942</c:v>
                </c:pt>
                <c:pt idx="15">
                  <c:v>-0.42353787922602859</c:v>
                </c:pt>
                <c:pt idx="16">
                  <c:v>-0.22720242745219366</c:v>
                </c:pt>
                <c:pt idx="17">
                  <c:v>-0.3520962066598009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9F-40A7-838A-7CA96F40CE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57909128"/>
        <c:axId val="857899944"/>
      </c:barChart>
      <c:catAx>
        <c:axId val="857909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57899944"/>
        <c:crosses val="autoZero"/>
        <c:auto val="1"/>
        <c:lblAlgn val="ctr"/>
        <c:lblOffset val="100"/>
        <c:noMultiLvlLbl val="0"/>
      </c:catAx>
      <c:valAx>
        <c:axId val="857899944"/>
        <c:scaling>
          <c:orientation val="minMax"/>
          <c:max val="1.7000000000000002"/>
          <c:min val="-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57909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3175" cap="flat" cmpd="sng" algn="ctr">
      <a:solidFill>
        <a:schemeClr val="accent5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r>
              <a:rPr lang="fr-FR" sz="900" baseline="0">
                <a:latin typeface="Marianne" panose="02000000000000000000" pitchFamily="50" charset="0"/>
              </a:rPr>
              <a:t>Céréales</a:t>
            </a:r>
          </a:p>
        </c:rich>
      </c:tx>
      <c:layout>
        <c:manualLayout>
          <c:xMode val="edge"/>
          <c:yMode val="edge"/>
          <c:x val="0.4299304461942257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8.7296150481189855E-2"/>
          <c:y val="2.5428331875182269E-2"/>
          <c:w val="0.89225043744531929"/>
          <c:h val="0.89032042869641292"/>
        </c:manualLayout>
      </c:layout>
      <c:lineChart>
        <c:grouping val="standard"/>
        <c:varyColors val="0"/>
        <c:ser>
          <c:idx val="0"/>
          <c:order val="0"/>
          <c:tx>
            <c:strRef>
              <c:f>'Hypothèses production'!$B$189</c:f>
              <c:strCache>
                <c:ptCount val="1"/>
                <c:pt idx="0">
                  <c:v>constaté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'Hypothèses production'!$C$188:$W$188</c:f>
              <c:numCache>
                <c:formatCode>0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'Hypothèses production'!$C$189:$W$189</c:f>
              <c:numCache>
                <c:formatCode>#,##0</c:formatCode>
                <c:ptCount val="21"/>
                <c:pt idx="0">
                  <c:v>3712.28044</c:v>
                </c:pt>
                <c:pt idx="1">
                  <c:v>3606.9883799999998</c:v>
                </c:pt>
                <c:pt idx="2">
                  <c:v>3783.5607099999997</c:v>
                </c:pt>
                <c:pt idx="3">
                  <c:v>3664.8350700000001</c:v>
                </c:pt>
                <c:pt idx="4">
                  <c:v>4026.2122100000001</c:v>
                </c:pt>
                <c:pt idx="5">
                  <c:v>3395.2387999999996</c:v>
                </c:pt>
                <c:pt idx="6">
                  <c:v>3508.8779800000002</c:v>
                </c:pt>
                <c:pt idx="7">
                  <c:v>3576.2932799999999</c:v>
                </c:pt>
                <c:pt idx="8">
                  <c:v>3242.0588700000003</c:v>
                </c:pt>
                <c:pt idx="9">
                  <c:v>3145.3065700000002</c:v>
                </c:pt>
                <c:pt idx="10">
                  <c:v>2979.1451499999998</c:v>
                </c:pt>
                <c:pt idx="11">
                  <c:v>3669.8783399999998</c:v>
                </c:pt>
                <c:pt idx="12">
                  <c:v>2842.9143899999999</c:v>
                </c:pt>
                <c:pt idx="13">
                  <c:v>3174.5932699999998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BF-41AF-A0F5-210ECE239097}"/>
            </c:ext>
          </c:extLst>
        </c:ser>
        <c:ser>
          <c:idx val="1"/>
          <c:order val="1"/>
          <c:tx>
            <c:strRef>
              <c:f>'Hypothèses production'!$B$190</c:f>
              <c:strCache>
                <c:ptCount val="1"/>
                <c:pt idx="0">
                  <c:v>2030 tendanciel</c:v>
                </c:pt>
              </c:strCache>
            </c:strRef>
          </c:tx>
          <c:spPr>
            <a:ln w="19050" cap="rnd">
              <a:solidFill>
                <a:schemeClr val="accent5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'Hypothèses production'!$C$188:$W$188</c:f>
              <c:numCache>
                <c:formatCode>0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'Hypothèses production'!$C$190:$W$190</c:f>
              <c:numCache>
                <c:formatCode>#,##0</c:formatCode>
                <c:ptCount val="21"/>
                <c:pt idx="13">
                  <c:v>3174.5932699999998</c:v>
                </c:pt>
                <c:pt idx="14">
                  <c:v>3162.1425414285713</c:v>
                </c:pt>
                <c:pt idx="15">
                  <c:v>3149.6918128571428</c:v>
                </c:pt>
                <c:pt idx="16">
                  <c:v>3137.2410842857144</c:v>
                </c:pt>
                <c:pt idx="17">
                  <c:v>3124.7903557142854</c:v>
                </c:pt>
                <c:pt idx="18">
                  <c:v>3112.3396271428569</c:v>
                </c:pt>
                <c:pt idx="19">
                  <c:v>3099.8888985714284</c:v>
                </c:pt>
                <c:pt idx="20">
                  <c:v>3087.4381699999999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BF-41AF-A0F5-210ECE239097}"/>
            </c:ext>
          </c:extLst>
        </c:ser>
        <c:ser>
          <c:idx val="2"/>
          <c:order val="2"/>
          <c:tx>
            <c:strRef>
              <c:f>'Hypothèses production'!$B$191</c:f>
              <c:strCache>
                <c:ptCount val="1"/>
                <c:pt idx="0">
                  <c:v>2030 projection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'Hypothèses production'!$C$188:$W$188</c:f>
              <c:numCache>
                <c:formatCode>0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'Hypothèses production'!$C$191:$W$191</c:f>
              <c:numCache>
                <c:formatCode>#,##0</c:formatCode>
                <c:ptCount val="21"/>
                <c:pt idx="13">
                  <c:v>3174.5932699999998</c:v>
                </c:pt>
                <c:pt idx="14">
                  <c:v>3162.1425414285713</c:v>
                </c:pt>
                <c:pt idx="15">
                  <c:v>3149.6918128571428</c:v>
                </c:pt>
                <c:pt idx="16">
                  <c:v>3137.2410842857144</c:v>
                </c:pt>
                <c:pt idx="17">
                  <c:v>3124.7903557142854</c:v>
                </c:pt>
                <c:pt idx="18">
                  <c:v>3112.3396271428569</c:v>
                </c:pt>
                <c:pt idx="19">
                  <c:v>3099.8888985714284</c:v>
                </c:pt>
                <c:pt idx="20">
                  <c:v>3087.4381699999999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BF-41AF-A0F5-210ECE2390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0656936"/>
        <c:axId val="540653984"/>
      </c:lineChart>
      <c:catAx>
        <c:axId val="5406569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540653984"/>
        <c:crosses val="autoZero"/>
        <c:auto val="1"/>
        <c:lblAlgn val="ctr"/>
        <c:lblOffset val="100"/>
        <c:tickLblSkip val="2"/>
        <c:noMultiLvlLbl val="0"/>
      </c:catAx>
      <c:valAx>
        <c:axId val="540653984"/>
        <c:scaling>
          <c:orientation val="minMax"/>
          <c:max val="4400"/>
          <c:min val="2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540656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6814063867016624"/>
          <c:y val="0.83391149023038769"/>
          <c:w val="0.73038517060367469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3175" cap="flat" cmpd="sng" algn="ctr">
      <a:solidFill>
        <a:schemeClr val="accent5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r>
              <a:rPr lang="fr-FR" sz="900" baseline="0">
                <a:latin typeface="Marianne" panose="02000000000000000000" pitchFamily="50" charset="0"/>
              </a:rPr>
              <a:t>Oléagineux et soja</a:t>
            </a:r>
          </a:p>
        </c:rich>
      </c:tx>
      <c:layout>
        <c:manualLayout>
          <c:xMode val="edge"/>
          <c:yMode val="edge"/>
          <c:x val="0.38270822397200349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7962817147856514E-2"/>
          <c:y val="2.5428331875182269E-2"/>
          <c:w val="0.9120918635170604"/>
          <c:h val="0.89032042869641292"/>
        </c:manualLayout>
      </c:layout>
      <c:lineChart>
        <c:grouping val="standard"/>
        <c:varyColors val="0"/>
        <c:ser>
          <c:idx val="0"/>
          <c:order val="0"/>
          <c:tx>
            <c:strRef>
              <c:f>'Hypothèses production'!$B$192</c:f>
              <c:strCache>
                <c:ptCount val="1"/>
                <c:pt idx="0">
                  <c:v>constaté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'Hypothèses production'!$C$188:$W$188</c:f>
              <c:numCache>
                <c:formatCode>0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'Hypothèses production'!$C$192:$W$192</c:f>
              <c:numCache>
                <c:formatCode>#,##0</c:formatCode>
                <c:ptCount val="21"/>
                <c:pt idx="0">
                  <c:v>193.1772</c:v>
                </c:pt>
                <c:pt idx="1">
                  <c:v>225.62260000000001</c:v>
                </c:pt>
                <c:pt idx="2">
                  <c:v>215.71713</c:v>
                </c:pt>
                <c:pt idx="3">
                  <c:v>182.20569999999998</c:v>
                </c:pt>
                <c:pt idx="4">
                  <c:v>225.05005000000003</c:v>
                </c:pt>
                <c:pt idx="5">
                  <c:v>199.96468999999999</c:v>
                </c:pt>
                <c:pt idx="6">
                  <c:v>236.43308999999999</c:v>
                </c:pt>
                <c:pt idx="7">
                  <c:v>278.69159999999999</c:v>
                </c:pt>
                <c:pt idx="8">
                  <c:v>264.16575</c:v>
                </c:pt>
                <c:pt idx="9">
                  <c:v>190.66085000000001</c:v>
                </c:pt>
                <c:pt idx="10">
                  <c:v>193.47767999999999</c:v>
                </c:pt>
                <c:pt idx="11">
                  <c:v>214.91881000000001</c:v>
                </c:pt>
                <c:pt idx="12">
                  <c:v>256.77521000000002</c:v>
                </c:pt>
                <c:pt idx="13">
                  <c:v>291.45480000000003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01-4B16-B5B3-DA6DFA1F7C0C}"/>
            </c:ext>
          </c:extLst>
        </c:ser>
        <c:ser>
          <c:idx val="1"/>
          <c:order val="1"/>
          <c:tx>
            <c:strRef>
              <c:f>'Hypothèses production'!$B$193</c:f>
              <c:strCache>
                <c:ptCount val="1"/>
                <c:pt idx="0">
                  <c:v>2030 tendanciel</c:v>
                </c:pt>
              </c:strCache>
            </c:strRef>
          </c:tx>
          <c:spPr>
            <a:ln w="19050" cap="rnd">
              <a:solidFill>
                <a:schemeClr val="accent5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'Hypothèses production'!$C$188:$W$188</c:f>
              <c:numCache>
                <c:formatCode>0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'Hypothèses production'!$C$193:$W$193</c:f>
              <c:numCache>
                <c:formatCode>#,##0</c:formatCode>
                <c:ptCount val="21"/>
                <c:pt idx="13">
                  <c:v>291.45480000000003</c:v>
                </c:pt>
                <c:pt idx="14">
                  <c:v>284.98895285714286</c:v>
                </c:pt>
                <c:pt idx="15">
                  <c:v>278.52310571428575</c:v>
                </c:pt>
                <c:pt idx="16">
                  <c:v>272.05725857142858</c:v>
                </c:pt>
                <c:pt idx="17">
                  <c:v>265.59141142857146</c:v>
                </c:pt>
                <c:pt idx="18">
                  <c:v>259.12556428571429</c:v>
                </c:pt>
                <c:pt idx="19">
                  <c:v>252.65971714285715</c:v>
                </c:pt>
                <c:pt idx="20">
                  <c:v>246.19387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01-4B16-B5B3-DA6DFA1F7C0C}"/>
            </c:ext>
          </c:extLst>
        </c:ser>
        <c:ser>
          <c:idx val="2"/>
          <c:order val="2"/>
          <c:tx>
            <c:strRef>
              <c:f>'Hypothèses production'!$B$194</c:f>
              <c:strCache>
                <c:ptCount val="1"/>
                <c:pt idx="0">
                  <c:v>2030 projection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'Hypothèses production'!$C$188:$W$188</c:f>
              <c:numCache>
                <c:formatCode>0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'Hypothèses production'!$C$194:$W$194</c:f>
              <c:numCache>
                <c:formatCode>#,##0</c:formatCode>
                <c:ptCount val="21"/>
                <c:pt idx="13">
                  <c:v>291.45480000000003</c:v>
                </c:pt>
                <c:pt idx="14">
                  <c:v>284.98895285714286</c:v>
                </c:pt>
                <c:pt idx="15">
                  <c:v>278.52310571428575</c:v>
                </c:pt>
                <c:pt idx="16">
                  <c:v>272.05725857142858</c:v>
                </c:pt>
                <c:pt idx="17">
                  <c:v>265.59141142857146</c:v>
                </c:pt>
                <c:pt idx="18">
                  <c:v>259.12556428571429</c:v>
                </c:pt>
                <c:pt idx="19">
                  <c:v>252.65971714285715</c:v>
                </c:pt>
                <c:pt idx="20">
                  <c:v>246.19387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01-4B16-B5B3-DA6DFA1F7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0656936"/>
        <c:axId val="540653984"/>
      </c:lineChart>
      <c:catAx>
        <c:axId val="5406569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540653984"/>
        <c:crosses val="autoZero"/>
        <c:auto val="1"/>
        <c:lblAlgn val="ctr"/>
        <c:lblOffset val="100"/>
        <c:tickLblSkip val="2"/>
        <c:noMultiLvlLbl val="0"/>
      </c:catAx>
      <c:valAx>
        <c:axId val="540653984"/>
        <c:scaling>
          <c:orientation val="minMax"/>
          <c:max val="340"/>
          <c:min val="1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540656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6814063867016624"/>
          <c:y val="0.83391149023038769"/>
          <c:w val="0.73038517060367469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3175" cap="flat" cmpd="sng" algn="ctr">
      <a:solidFill>
        <a:schemeClr val="accent5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r>
              <a:rPr lang="fr-FR" sz="900" baseline="0">
                <a:latin typeface="Marianne" panose="02000000000000000000" pitchFamily="50" charset="0"/>
              </a:rPr>
              <a:t>Légumes secs</a:t>
            </a:r>
          </a:p>
        </c:rich>
      </c:tx>
      <c:layout>
        <c:manualLayout>
          <c:xMode val="edge"/>
          <c:yMode val="edge"/>
          <c:x val="0.38270822397200349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5.4629483814523185E-2"/>
          <c:y val="2.5428331875182269E-2"/>
          <c:w val="0.92510783027121612"/>
          <c:h val="0.89032042869641292"/>
        </c:manualLayout>
      </c:layout>
      <c:lineChart>
        <c:grouping val="standard"/>
        <c:varyColors val="0"/>
        <c:ser>
          <c:idx val="0"/>
          <c:order val="0"/>
          <c:tx>
            <c:strRef>
              <c:f>'Hypothèses production'!$B$195</c:f>
              <c:strCache>
                <c:ptCount val="1"/>
                <c:pt idx="0">
                  <c:v>constaté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'Hypothèses production'!$C$188:$W$188</c:f>
              <c:numCache>
                <c:formatCode>0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'Hypothèses production'!$C$195:$W$195</c:f>
              <c:numCache>
                <c:formatCode>#,##0</c:formatCode>
                <c:ptCount val="21"/>
                <c:pt idx="0">
                  <c:v>26.290410000000001</c:v>
                </c:pt>
                <c:pt idx="1">
                  <c:v>18.537649999999999</c:v>
                </c:pt>
                <c:pt idx="2">
                  <c:v>13.81842</c:v>
                </c:pt>
                <c:pt idx="3">
                  <c:v>11.278079999999999</c:v>
                </c:pt>
                <c:pt idx="4">
                  <c:v>13.800600000000001</c:v>
                </c:pt>
                <c:pt idx="5">
                  <c:v>16.665089999999999</c:v>
                </c:pt>
                <c:pt idx="6">
                  <c:v>18.37266</c:v>
                </c:pt>
                <c:pt idx="7">
                  <c:v>23.142449999999997</c:v>
                </c:pt>
                <c:pt idx="8">
                  <c:v>18.381360000000001</c:v>
                </c:pt>
                <c:pt idx="9">
                  <c:v>18.369559999999996</c:v>
                </c:pt>
                <c:pt idx="10">
                  <c:v>16.51886</c:v>
                </c:pt>
                <c:pt idx="11">
                  <c:v>14.830830000000001</c:v>
                </c:pt>
                <c:pt idx="12">
                  <c:v>11.90025</c:v>
                </c:pt>
                <c:pt idx="13">
                  <c:v>13.525300000000001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AB-4470-8984-93E1064507AC}"/>
            </c:ext>
          </c:extLst>
        </c:ser>
        <c:ser>
          <c:idx val="1"/>
          <c:order val="1"/>
          <c:tx>
            <c:strRef>
              <c:f>'Hypothèses production'!$B$196</c:f>
              <c:strCache>
                <c:ptCount val="1"/>
                <c:pt idx="0">
                  <c:v>2030 tendanciel</c:v>
                </c:pt>
              </c:strCache>
            </c:strRef>
          </c:tx>
          <c:spPr>
            <a:ln w="19050" cap="rnd">
              <a:solidFill>
                <a:schemeClr val="accent5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'Hypothèses production'!$C$188:$W$188</c:f>
              <c:numCache>
                <c:formatCode>0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'Hypothèses production'!$C$196:$W$196</c:f>
              <c:numCache>
                <c:formatCode>#,##0</c:formatCode>
                <c:ptCount val="21"/>
                <c:pt idx="13">
                  <c:v>13.525300000000001</c:v>
                </c:pt>
                <c:pt idx="14">
                  <c:v>13.553528571428572</c:v>
                </c:pt>
                <c:pt idx="15">
                  <c:v>13.581757142857144</c:v>
                </c:pt>
                <c:pt idx="16">
                  <c:v>13.609985714285715</c:v>
                </c:pt>
                <c:pt idx="17">
                  <c:v>13.638214285714286</c:v>
                </c:pt>
                <c:pt idx="18">
                  <c:v>13.666442857142856</c:v>
                </c:pt>
                <c:pt idx="19">
                  <c:v>13.694671428571429</c:v>
                </c:pt>
                <c:pt idx="20">
                  <c:v>13.722899999999999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AB-4470-8984-93E1064507AC}"/>
            </c:ext>
          </c:extLst>
        </c:ser>
        <c:ser>
          <c:idx val="2"/>
          <c:order val="2"/>
          <c:tx>
            <c:strRef>
              <c:f>'Hypothèses production'!$B$197</c:f>
              <c:strCache>
                <c:ptCount val="1"/>
                <c:pt idx="0">
                  <c:v>2030 projection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'Hypothèses production'!$C$188:$W$188</c:f>
              <c:numCache>
                <c:formatCode>0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'Hypothèses production'!$C$197:$W$197</c:f>
              <c:numCache>
                <c:formatCode>#,##0</c:formatCode>
                <c:ptCount val="21"/>
                <c:pt idx="13">
                  <c:v>13.525300000000001</c:v>
                </c:pt>
                <c:pt idx="14">
                  <c:v>13.553528571428572</c:v>
                </c:pt>
                <c:pt idx="15">
                  <c:v>13.581757142857144</c:v>
                </c:pt>
                <c:pt idx="16">
                  <c:v>13.609985714285715</c:v>
                </c:pt>
                <c:pt idx="17">
                  <c:v>13.638214285714286</c:v>
                </c:pt>
                <c:pt idx="18">
                  <c:v>13.666442857142856</c:v>
                </c:pt>
                <c:pt idx="19">
                  <c:v>13.694671428571429</c:v>
                </c:pt>
                <c:pt idx="20">
                  <c:v>13.722899999999999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AB-4470-8984-93E1064507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0656936"/>
        <c:axId val="540653984"/>
      </c:lineChart>
      <c:catAx>
        <c:axId val="5406569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540653984"/>
        <c:crosses val="autoZero"/>
        <c:auto val="1"/>
        <c:lblAlgn val="ctr"/>
        <c:lblOffset val="100"/>
        <c:tickLblSkip val="2"/>
        <c:noMultiLvlLbl val="0"/>
      </c:catAx>
      <c:valAx>
        <c:axId val="540653984"/>
        <c:scaling>
          <c:orientation val="minMax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540656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6814063867016624"/>
          <c:y val="0.83391149023038769"/>
          <c:w val="0.73038517060367469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3175" cap="flat" cmpd="sng" algn="ctr">
      <a:solidFill>
        <a:schemeClr val="accent5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r>
              <a:rPr lang="fr-FR" sz="900" baseline="0">
                <a:latin typeface="Marianne" panose="02000000000000000000" pitchFamily="50" charset="0"/>
              </a:rPr>
              <a:t>Légumes frais hors pomme de terre</a:t>
            </a:r>
          </a:p>
        </c:rich>
      </c:tx>
      <c:layout>
        <c:manualLayout>
          <c:xMode val="edge"/>
          <c:yMode val="edge"/>
          <c:x val="0.38270822397200349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6843071654669781E-2"/>
          <c:y val="2.5428331875182269E-2"/>
          <c:w val="0.91191420814887414"/>
          <c:h val="0.89032042869641292"/>
        </c:manualLayout>
      </c:layout>
      <c:lineChart>
        <c:grouping val="standard"/>
        <c:varyColors val="0"/>
        <c:ser>
          <c:idx val="0"/>
          <c:order val="0"/>
          <c:tx>
            <c:strRef>
              <c:f>'Hypothèses production'!$B$198</c:f>
              <c:strCache>
                <c:ptCount val="1"/>
                <c:pt idx="0">
                  <c:v>constaté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'Hypothèses production'!$C$188:$W$188</c:f>
              <c:numCache>
                <c:formatCode>0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'Hypothèses production'!$C$198:$W$198</c:f>
              <c:numCache>
                <c:formatCode>#,##0</c:formatCode>
                <c:ptCount val="21"/>
                <c:pt idx="0">
                  <c:v>151.45699999999999</c:v>
                </c:pt>
                <c:pt idx="1">
                  <c:v>158.87979999999999</c:v>
                </c:pt>
                <c:pt idx="2">
                  <c:v>163.69540000000001</c:v>
                </c:pt>
                <c:pt idx="3">
                  <c:v>151.45659999999998</c:v>
                </c:pt>
                <c:pt idx="4">
                  <c:v>146.62879999999998</c:v>
                </c:pt>
                <c:pt idx="5">
                  <c:v>145.53229999999999</c:v>
                </c:pt>
                <c:pt idx="6">
                  <c:v>148.07290000000003</c:v>
                </c:pt>
                <c:pt idx="7">
                  <c:v>146.99539999999999</c:v>
                </c:pt>
                <c:pt idx="8">
                  <c:v>152.3965</c:v>
                </c:pt>
                <c:pt idx="9">
                  <c:v>144.8819</c:v>
                </c:pt>
                <c:pt idx="10">
                  <c:v>150.85310000000001</c:v>
                </c:pt>
                <c:pt idx="11">
                  <c:v>159.61449999999999</c:v>
                </c:pt>
                <c:pt idx="12">
                  <c:v>140.63279999999997</c:v>
                </c:pt>
                <c:pt idx="13">
                  <c:v>130.36500000000001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15-41C6-8CB3-41B44D305CC8}"/>
            </c:ext>
          </c:extLst>
        </c:ser>
        <c:ser>
          <c:idx val="1"/>
          <c:order val="1"/>
          <c:tx>
            <c:strRef>
              <c:f>'Hypothèses production'!$B$199</c:f>
              <c:strCache>
                <c:ptCount val="1"/>
                <c:pt idx="0">
                  <c:v>2030 tendanciel</c:v>
                </c:pt>
              </c:strCache>
            </c:strRef>
          </c:tx>
          <c:spPr>
            <a:ln w="19050" cap="rnd">
              <a:solidFill>
                <a:schemeClr val="accent5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'Hypothèses production'!$C$188:$W$188</c:f>
              <c:numCache>
                <c:formatCode>0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'Hypothèses production'!$C$199:$W$199</c:f>
              <c:numCache>
                <c:formatCode>#,##0</c:formatCode>
                <c:ptCount val="21"/>
                <c:pt idx="13">
                  <c:v>130.36500000000001</c:v>
                </c:pt>
                <c:pt idx="14">
                  <c:v>132.22466666666668</c:v>
                </c:pt>
                <c:pt idx="15">
                  <c:v>134.08433333333335</c:v>
                </c:pt>
                <c:pt idx="16">
                  <c:v>135.94400000000002</c:v>
                </c:pt>
                <c:pt idx="17">
                  <c:v>137.80366666666669</c:v>
                </c:pt>
                <c:pt idx="18">
                  <c:v>139.66333333333336</c:v>
                </c:pt>
                <c:pt idx="19">
                  <c:v>141.52300000000002</c:v>
                </c:pt>
                <c:pt idx="20">
                  <c:v>143.38266666666669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15-41C6-8CB3-41B44D305CC8}"/>
            </c:ext>
          </c:extLst>
        </c:ser>
        <c:ser>
          <c:idx val="2"/>
          <c:order val="2"/>
          <c:tx>
            <c:strRef>
              <c:f>'Hypothèses production'!$B$200</c:f>
              <c:strCache>
                <c:ptCount val="1"/>
                <c:pt idx="0">
                  <c:v>2030 projection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'Hypothèses production'!$C$188:$W$188</c:f>
              <c:numCache>
                <c:formatCode>0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'Hypothèses production'!$C$200:$W$200</c:f>
              <c:numCache>
                <c:formatCode>#,##0</c:formatCode>
                <c:ptCount val="21"/>
                <c:pt idx="13">
                  <c:v>130.36500000000001</c:v>
                </c:pt>
                <c:pt idx="14">
                  <c:v>132.22466666666668</c:v>
                </c:pt>
                <c:pt idx="15">
                  <c:v>134.08433333333335</c:v>
                </c:pt>
                <c:pt idx="16">
                  <c:v>135.94400000000002</c:v>
                </c:pt>
                <c:pt idx="17">
                  <c:v>137.80366666666669</c:v>
                </c:pt>
                <c:pt idx="18">
                  <c:v>139.66333333333336</c:v>
                </c:pt>
                <c:pt idx="19">
                  <c:v>141.52300000000002</c:v>
                </c:pt>
                <c:pt idx="20">
                  <c:v>143.38266666666669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15-41C6-8CB3-41B44D305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0656936"/>
        <c:axId val="540653984"/>
      </c:lineChart>
      <c:catAx>
        <c:axId val="5406569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540653984"/>
        <c:crosses val="autoZero"/>
        <c:auto val="1"/>
        <c:lblAlgn val="ctr"/>
        <c:lblOffset val="100"/>
        <c:tickLblSkip val="2"/>
        <c:noMultiLvlLbl val="0"/>
      </c:catAx>
      <c:valAx>
        <c:axId val="540653984"/>
        <c:scaling>
          <c:orientation val="minMax"/>
          <c:max val="180"/>
          <c:min val="1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540656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6814063867016624"/>
          <c:y val="0.83391149023038769"/>
          <c:w val="0.73038517060367469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3175" cap="flat" cmpd="sng" algn="ctr">
      <a:solidFill>
        <a:schemeClr val="accent5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r>
              <a:rPr lang="fr-FR" sz="900" baseline="0">
                <a:latin typeface="Marianne" panose="02000000000000000000" pitchFamily="50" charset="0"/>
              </a:rPr>
              <a:t>Pomme de terre</a:t>
            </a:r>
          </a:p>
        </c:rich>
      </c:tx>
      <c:layout>
        <c:manualLayout>
          <c:xMode val="edge"/>
          <c:yMode val="edge"/>
          <c:x val="0.38270822397200349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4893482064741909E-2"/>
          <c:y val="2.5428331875182269E-2"/>
          <c:w val="0.91508814523184601"/>
          <c:h val="0.89032042869641292"/>
        </c:manualLayout>
      </c:layout>
      <c:lineChart>
        <c:grouping val="standard"/>
        <c:varyColors val="0"/>
        <c:ser>
          <c:idx val="0"/>
          <c:order val="0"/>
          <c:tx>
            <c:strRef>
              <c:f>'Hypothèses production'!$B$201</c:f>
              <c:strCache>
                <c:ptCount val="1"/>
                <c:pt idx="0">
                  <c:v>constaté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'Hypothèses production'!$C$188:$W$188</c:f>
              <c:numCache>
                <c:formatCode>0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'Hypothèses production'!$C$201:$W$201</c:f>
              <c:numCache>
                <c:formatCode>#,##0</c:formatCode>
                <c:ptCount val="21"/>
                <c:pt idx="0">
                  <c:v>60.016599999999997</c:v>
                </c:pt>
                <c:pt idx="1">
                  <c:v>73.0398</c:v>
                </c:pt>
                <c:pt idx="2">
                  <c:v>71.426000000000002</c:v>
                </c:pt>
                <c:pt idx="3">
                  <c:v>75.942599999999985</c:v>
                </c:pt>
                <c:pt idx="4">
                  <c:v>89.603399999999993</c:v>
                </c:pt>
                <c:pt idx="5">
                  <c:v>84.96</c:v>
                </c:pt>
                <c:pt idx="6">
                  <c:v>98.366399999999999</c:v>
                </c:pt>
                <c:pt idx="7">
                  <c:v>100.6036</c:v>
                </c:pt>
                <c:pt idx="8">
                  <c:v>107.84399999999999</c:v>
                </c:pt>
                <c:pt idx="9">
                  <c:v>114.123</c:v>
                </c:pt>
                <c:pt idx="10">
                  <c:v>124.54169999999999</c:v>
                </c:pt>
                <c:pt idx="11">
                  <c:v>114.22799999999999</c:v>
                </c:pt>
                <c:pt idx="12">
                  <c:v>95.507300000000001</c:v>
                </c:pt>
                <c:pt idx="13">
                  <c:v>110.3554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97-4856-9700-B65C936FBA33}"/>
            </c:ext>
          </c:extLst>
        </c:ser>
        <c:ser>
          <c:idx val="1"/>
          <c:order val="1"/>
          <c:tx>
            <c:strRef>
              <c:f>'Hypothèses production'!$B$202</c:f>
              <c:strCache>
                <c:ptCount val="1"/>
                <c:pt idx="0">
                  <c:v>2030 tendanciel</c:v>
                </c:pt>
              </c:strCache>
            </c:strRef>
          </c:tx>
          <c:spPr>
            <a:ln w="19050" cap="rnd">
              <a:solidFill>
                <a:schemeClr val="accent5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'Hypothèses production'!$C$188:$W$188</c:f>
              <c:numCache>
                <c:formatCode>0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'Hypothèses production'!$C$202:$W$202</c:f>
              <c:numCache>
                <c:formatCode>#,##0</c:formatCode>
                <c:ptCount val="21"/>
                <c:pt idx="13">
                  <c:v>110.3554</c:v>
                </c:pt>
                <c:pt idx="14">
                  <c:v>110.58539047619048</c:v>
                </c:pt>
                <c:pt idx="15">
                  <c:v>110.81538095238096</c:v>
                </c:pt>
                <c:pt idx="16">
                  <c:v>111.04537142857144</c:v>
                </c:pt>
                <c:pt idx="17">
                  <c:v>111.27536190476191</c:v>
                </c:pt>
                <c:pt idx="18">
                  <c:v>111.50535238095239</c:v>
                </c:pt>
                <c:pt idx="19">
                  <c:v>111.73534285714287</c:v>
                </c:pt>
                <c:pt idx="20">
                  <c:v>111.96533333333335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97-4856-9700-B65C936FBA33}"/>
            </c:ext>
          </c:extLst>
        </c:ser>
        <c:ser>
          <c:idx val="2"/>
          <c:order val="2"/>
          <c:tx>
            <c:strRef>
              <c:f>'Hypothèses production'!$B$203</c:f>
              <c:strCache>
                <c:ptCount val="1"/>
                <c:pt idx="0">
                  <c:v>2030 projection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'Hypothèses production'!$C$188:$W$188</c:f>
              <c:numCache>
                <c:formatCode>0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'Hypothèses production'!$C$203:$W$203</c:f>
              <c:numCache>
                <c:formatCode>#,##0</c:formatCode>
                <c:ptCount val="21"/>
                <c:pt idx="13">
                  <c:v>110.3554</c:v>
                </c:pt>
                <c:pt idx="14">
                  <c:v>110.58539047619048</c:v>
                </c:pt>
                <c:pt idx="15">
                  <c:v>110.81538095238096</c:v>
                </c:pt>
                <c:pt idx="16">
                  <c:v>111.04537142857144</c:v>
                </c:pt>
                <c:pt idx="17">
                  <c:v>111.27536190476191</c:v>
                </c:pt>
                <c:pt idx="18">
                  <c:v>111.50535238095239</c:v>
                </c:pt>
                <c:pt idx="19">
                  <c:v>111.73534285714287</c:v>
                </c:pt>
                <c:pt idx="20">
                  <c:v>111.96533333333335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97-4856-9700-B65C936FBA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0656936"/>
        <c:axId val="540653984"/>
      </c:lineChart>
      <c:catAx>
        <c:axId val="5406569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540653984"/>
        <c:crosses val="autoZero"/>
        <c:auto val="1"/>
        <c:lblAlgn val="ctr"/>
        <c:lblOffset val="100"/>
        <c:tickLblSkip val="2"/>
        <c:noMultiLvlLbl val="0"/>
      </c:catAx>
      <c:valAx>
        <c:axId val="540653984"/>
        <c:scaling>
          <c:orientation val="minMax"/>
          <c:max val="140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540656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6814063867016624"/>
          <c:y val="0.83391149023038769"/>
          <c:w val="0.73038517060367469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3175" cap="flat" cmpd="sng" algn="ctr">
      <a:solidFill>
        <a:schemeClr val="accent5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r>
              <a:rPr lang="fr-FR" sz="900" baseline="0">
                <a:latin typeface="Marianne" panose="02000000000000000000" pitchFamily="50" charset="0"/>
              </a:rPr>
              <a:t>Fruits</a:t>
            </a:r>
          </a:p>
        </c:rich>
      </c:tx>
      <c:layout>
        <c:manualLayout>
          <c:xMode val="edge"/>
          <c:yMode val="edge"/>
          <c:x val="0.5049304461942256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7962817147856514E-2"/>
          <c:y val="2.5428331875182269E-2"/>
          <c:w val="0.9120918635170604"/>
          <c:h val="0.89032042869641292"/>
        </c:manualLayout>
      </c:layout>
      <c:lineChart>
        <c:grouping val="standard"/>
        <c:varyColors val="0"/>
        <c:ser>
          <c:idx val="0"/>
          <c:order val="0"/>
          <c:tx>
            <c:strRef>
              <c:f>'Hypothèses production'!$B$204</c:f>
              <c:strCache>
                <c:ptCount val="1"/>
                <c:pt idx="0">
                  <c:v>constaté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'Hypothèses production'!$C$188:$W$188</c:f>
              <c:numCache>
                <c:formatCode>0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'Hypothèses production'!$C$204:$W$204</c:f>
              <c:numCache>
                <c:formatCode>#,##0</c:formatCode>
                <c:ptCount val="21"/>
                <c:pt idx="0">
                  <c:v>281.62479999999999</c:v>
                </c:pt>
                <c:pt idx="1">
                  <c:v>307.26140000000004</c:v>
                </c:pt>
                <c:pt idx="2">
                  <c:v>275.99490000000003</c:v>
                </c:pt>
                <c:pt idx="3">
                  <c:v>248.72630000000001</c:v>
                </c:pt>
                <c:pt idx="4">
                  <c:v>300.22379999999998</c:v>
                </c:pt>
                <c:pt idx="5">
                  <c:v>287.66759999999999</c:v>
                </c:pt>
                <c:pt idx="6">
                  <c:v>231.78159999999997</c:v>
                </c:pt>
                <c:pt idx="7">
                  <c:v>258.82580000000002</c:v>
                </c:pt>
                <c:pt idx="8">
                  <c:v>232.39869999999999</c:v>
                </c:pt>
                <c:pt idx="9">
                  <c:v>240.12640000000002</c:v>
                </c:pt>
                <c:pt idx="10">
                  <c:v>205.34890000000001</c:v>
                </c:pt>
                <c:pt idx="11">
                  <c:v>111.99610000000001</c:v>
                </c:pt>
                <c:pt idx="12">
                  <c:v>222.21669999999997</c:v>
                </c:pt>
                <c:pt idx="13">
                  <c:v>222.12920000000003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88-4A2C-8A8D-FF9899A42CF8}"/>
            </c:ext>
          </c:extLst>
        </c:ser>
        <c:ser>
          <c:idx val="1"/>
          <c:order val="1"/>
          <c:tx>
            <c:strRef>
              <c:f>'Hypothèses production'!$B$205</c:f>
              <c:strCache>
                <c:ptCount val="1"/>
                <c:pt idx="0">
                  <c:v>2030 tendanciel</c:v>
                </c:pt>
              </c:strCache>
            </c:strRef>
          </c:tx>
          <c:spPr>
            <a:ln w="19050" cap="rnd">
              <a:solidFill>
                <a:schemeClr val="accent5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'Hypothèses production'!$C$188:$W$188</c:f>
              <c:numCache>
                <c:formatCode>0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'Hypothèses production'!$C$205:$W$205</c:f>
              <c:numCache>
                <c:formatCode>#,##0</c:formatCode>
                <c:ptCount val="21"/>
                <c:pt idx="13">
                  <c:v>222.12920000000003</c:v>
                </c:pt>
                <c:pt idx="14">
                  <c:v>216.1031142857143</c:v>
                </c:pt>
                <c:pt idx="15">
                  <c:v>210.0770285714286</c:v>
                </c:pt>
                <c:pt idx="16">
                  <c:v>204.05094285714287</c:v>
                </c:pt>
                <c:pt idx="17">
                  <c:v>198.02485714285714</c:v>
                </c:pt>
                <c:pt idx="18">
                  <c:v>191.99877142857142</c:v>
                </c:pt>
                <c:pt idx="19">
                  <c:v>185.97268571428572</c:v>
                </c:pt>
                <c:pt idx="20">
                  <c:v>179.94659999999999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88-4A2C-8A8D-FF9899A42CF8}"/>
            </c:ext>
          </c:extLst>
        </c:ser>
        <c:ser>
          <c:idx val="2"/>
          <c:order val="2"/>
          <c:tx>
            <c:strRef>
              <c:f>'Hypothèses production'!$B$206</c:f>
              <c:strCache>
                <c:ptCount val="1"/>
                <c:pt idx="0">
                  <c:v>2030 projection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'Hypothèses production'!$C$188:$W$188</c:f>
              <c:numCache>
                <c:formatCode>0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'Hypothèses production'!$C$206:$W$206</c:f>
              <c:numCache>
                <c:formatCode>#,##0</c:formatCode>
                <c:ptCount val="21"/>
                <c:pt idx="13">
                  <c:v>222.12920000000003</c:v>
                </c:pt>
                <c:pt idx="14">
                  <c:v>216.1031142857143</c:v>
                </c:pt>
                <c:pt idx="15">
                  <c:v>210.0770285714286</c:v>
                </c:pt>
                <c:pt idx="16">
                  <c:v>204.05094285714287</c:v>
                </c:pt>
                <c:pt idx="17">
                  <c:v>198.02485714285714</c:v>
                </c:pt>
                <c:pt idx="18">
                  <c:v>191.99877142857142</c:v>
                </c:pt>
                <c:pt idx="19">
                  <c:v>185.97268571428572</c:v>
                </c:pt>
                <c:pt idx="20">
                  <c:v>179.94659999999999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88-4A2C-8A8D-FF9899A42C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0656936"/>
        <c:axId val="540653984"/>
      </c:lineChart>
      <c:catAx>
        <c:axId val="5406569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540653984"/>
        <c:crosses val="autoZero"/>
        <c:auto val="1"/>
        <c:lblAlgn val="ctr"/>
        <c:lblOffset val="100"/>
        <c:tickLblSkip val="2"/>
        <c:noMultiLvlLbl val="0"/>
      </c:catAx>
      <c:valAx>
        <c:axId val="540653984"/>
        <c:scaling>
          <c:orientation val="minMax"/>
          <c:max val="340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540656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6814063867016624"/>
          <c:y val="0.83391149023038769"/>
          <c:w val="0.73038517060367469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3175" cap="flat" cmpd="sng" algn="ctr">
      <a:solidFill>
        <a:schemeClr val="accent5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r>
              <a:rPr lang="fr-FR" sz="900" baseline="0">
                <a:latin typeface="Marianne" panose="02000000000000000000" pitchFamily="50" charset="0"/>
              </a:rPr>
              <a:t>Viandes rouges (bovin et ovin)</a:t>
            </a:r>
          </a:p>
        </c:rich>
      </c:tx>
      <c:layout>
        <c:manualLayout>
          <c:xMode val="edge"/>
          <c:yMode val="edge"/>
          <c:x val="0.38270822397200349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4893482064741909E-2"/>
          <c:y val="2.5428331875182269E-2"/>
          <c:w val="0.91508814523184601"/>
          <c:h val="0.89032042869641292"/>
        </c:manualLayout>
      </c:layout>
      <c:lineChart>
        <c:grouping val="standard"/>
        <c:varyColors val="0"/>
        <c:ser>
          <c:idx val="0"/>
          <c:order val="0"/>
          <c:tx>
            <c:strRef>
              <c:f>'Hypothèses production'!$B$207</c:f>
              <c:strCache>
                <c:ptCount val="1"/>
                <c:pt idx="0">
                  <c:v>constaté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'Hypothèses production'!$C$188:$W$188</c:f>
              <c:numCache>
                <c:formatCode>0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'Hypothèses production'!$C$207:$W$207</c:f>
              <c:numCache>
                <c:formatCode>#,##0</c:formatCode>
                <c:ptCount val="21"/>
                <c:pt idx="0">
                  <c:v>164.15799999999999</c:v>
                </c:pt>
                <c:pt idx="1">
                  <c:v>172.18899999999999</c:v>
                </c:pt>
                <c:pt idx="2">
                  <c:v>157.23099999999999</c:v>
                </c:pt>
                <c:pt idx="3">
                  <c:v>152.28200000000001</c:v>
                </c:pt>
                <c:pt idx="4">
                  <c:v>154.69200000000001</c:v>
                </c:pt>
                <c:pt idx="5">
                  <c:v>161.70500000000001</c:v>
                </c:pt>
                <c:pt idx="6">
                  <c:v>164.27099999999999</c:v>
                </c:pt>
                <c:pt idx="7">
                  <c:v>162.59</c:v>
                </c:pt>
                <c:pt idx="8">
                  <c:v>161.35</c:v>
                </c:pt>
                <c:pt idx="9">
                  <c:v>156.458</c:v>
                </c:pt>
                <c:pt idx="10">
                  <c:v>153.512</c:v>
                </c:pt>
                <c:pt idx="11">
                  <c:v>149.38800000000001</c:v>
                </c:pt>
                <c:pt idx="12">
                  <c:v>146.35599999999999</c:v>
                </c:pt>
                <c:pt idx="13">
                  <c:v>135.61199999999999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36-49F7-9F59-A6287DF82499}"/>
            </c:ext>
          </c:extLst>
        </c:ser>
        <c:ser>
          <c:idx val="1"/>
          <c:order val="1"/>
          <c:tx>
            <c:strRef>
              <c:f>'Hypothèses production'!$B$208</c:f>
              <c:strCache>
                <c:ptCount val="1"/>
                <c:pt idx="0">
                  <c:v>2030 tendanciel</c:v>
                </c:pt>
              </c:strCache>
            </c:strRef>
          </c:tx>
          <c:spPr>
            <a:ln w="19050" cap="rnd">
              <a:solidFill>
                <a:schemeClr val="accent5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'Hypothèses production'!$C$188:$W$188</c:f>
              <c:numCache>
                <c:formatCode>0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'Hypothèses production'!$C$208:$W$208</c:f>
              <c:numCache>
                <c:formatCode>#,##0</c:formatCode>
                <c:ptCount val="21"/>
                <c:pt idx="13">
                  <c:v>135.61199999999999</c:v>
                </c:pt>
                <c:pt idx="14">
                  <c:v>134.31485714285714</c:v>
                </c:pt>
                <c:pt idx="15">
                  <c:v>133.01771428571428</c:v>
                </c:pt>
                <c:pt idx="16">
                  <c:v>131.72057142857142</c:v>
                </c:pt>
                <c:pt idx="17">
                  <c:v>130.42342857142856</c:v>
                </c:pt>
                <c:pt idx="18">
                  <c:v>129.1262857142857</c:v>
                </c:pt>
                <c:pt idx="19">
                  <c:v>127.82914285714286</c:v>
                </c:pt>
                <c:pt idx="20">
                  <c:v>126.532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36-49F7-9F59-A6287DF82499}"/>
            </c:ext>
          </c:extLst>
        </c:ser>
        <c:ser>
          <c:idx val="2"/>
          <c:order val="2"/>
          <c:tx>
            <c:strRef>
              <c:f>'Hypothèses production'!$B$209</c:f>
              <c:strCache>
                <c:ptCount val="1"/>
                <c:pt idx="0">
                  <c:v>2030 projection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'Hypothèses production'!$C$188:$W$188</c:f>
              <c:numCache>
                <c:formatCode>0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'Hypothèses production'!$C$209:$W$209</c:f>
              <c:numCache>
                <c:formatCode>#,##0</c:formatCode>
                <c:ptCount val="21"/>
                <c:pt idx="13">
                  <c:v>135.61199999999999</c:v>
                </c:pt>
                <c:pt idx="14">
                  <c:v>134.31485714285714</c:v>
                </c:pt>
                <c:pt idx="15">
                  <c:v>133.01771428571428</c:v>
                </c:pt>
                <c:pt idx="16">
                  <c:v>131.72057142857142</c:v>
                </c:pt>
                <c:pt idx="17">
                  <c:v>130.42342857142856</c:v>
                </c:pt>
                <c:pt idx="18">
                  <c:v>129.1262857142857</c:v>
                </c:pt>
                <c:pt idx="19">
                  <c:v>127.82914285714286</c:v>
                </c:pt>
                <c:pt idx="20">
                  <c:v>126.532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36-49F7-9F59-A6287DF824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0656936"/>
        <c:axId val="540653984"/>
      </c:lineChart>
      <c:catAx>
        <c:axId val="5406569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540653984"/>
        <c:crosses val="autoZero"/>
        <c:auto val="1"/>
        <c:lblAlgn val="ctr"/>
        <c:lblOffset val="100"/>
        <c:tickLblSkip val="2"/>
        <c:noMultiLvlLbl val="0"/>
      </c:catAx>
      <c:valAx>
        <c:axId val="540653984"/>
        <c:scaling>
          <c:orientation val="minMax"/>
          <c:min val="1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540656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6814063867016624"/>
          <c:y val="0.83391149023038769"/>
          <c:w val="0.73038517060367469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3175" cap="flat" cmpd="sng" algn="ctr">
      <a:solidFill>
        <a:schemeClr val="accent5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r>
              <a:rPr lang="fr-FR"/>
              <a:t>Colza,</a:t>
            </a:r>
            <a:r>
              <a:rPr lang="fr-FR" baseline="0"/>
              <a:t> tournesol, soja</a:t>
            </a:r>
            <a:endParaRPr lang="fr-FR"/>
          </a:p>
        </c:rich>
      </c:tx>
      <c:layout>
        <c:manualLayout>
          <c:xMode val="edge"/>
          <c:yMode val="edge"/>
          <c:x val="0.3622637795275591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8.4226815398075236E-2"/>
          <c:y val="2.5694444444444443E-2"/>
          <c:w val="0.91577318460192481"/>
          <c:h val="0.88804060950714492"/>
        </c:manualLayout>
      </c:layout>
      <c:lineChart>
        <c:grouping val="standard"/>
        <c:varyColors val="0"/>
        <c:ser>
          <c:idx val="0"/>
          <c:order val="0"/>
          <c:tx>
            <c:strRef>
              <c:f>'Hypothèses conso'!$B$83</c:f>
              <c:strCache>
                <c:ptCount val="1"/>
                <c:pt idx="0">
                  <c:v>constaté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'Hypothèses conso'!$C$79:$W$79</c:f>
              <c:numCache>
                <c:formatCode>0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'Hypothèses conso'!$C$83:$W$83</c:f>
              <c:numCache>
                <c:formatCode>0.0</c:formatCode>
                <c:ptCount val="21"/>
                <c:pt idx="0">
                  <c:v>12.075316369922525</c:v>
                </c:pt>
                <c:pt idx="1">
                  <c:v>11.384658350660498</c:v>
                </c:pt>
                <c:pt idx="2">
                  <c:v>13.30379757825863</c:v>
                </c:pt>
                <c:pt idx="3">
                  <c:v>12.83034239586549</c:v>
                </c:pt>
                <c:pt idx="4">
                  <c:v>11.147536413638093</c:v>
                </c:pt>
                <c:pt idx="5">
                  <c:v>13.160253684721855</c:v>
                </c:pt>
                <c:pt idx="6">
                  <c:v>14.687544306432667</c:v>
                </c:pt>
                <c:pt idx="7">
                  <c:v>15.397360759053262</c:v>
                </c:pt>
                <c:pt idx="8">
                  <c:v>13.468089993452978</c:v>
                </c:pt>
                <c:pt idx="9">
                  <c:v>13.249079394902704</c:v>
                </c:pt>
                <c:pt idx="10">
                  <c:v>13.746239735697159</c:v>
                </c:pt>
                <c:pt idx="11">
                  <c:v>12.852917473116914</c:v>
                </c:pt>
                <c:pt idx="12">
                  <c:v>13.222130790762829</c:v>
                </c:pt>
                <c:pt idx="13">
                  <c:v>13.244364441917476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76-4A25-AB68-67E19F4DB53C}"/>
            </c:ext>
          </c:extLst>
        </c:ser>
        <c:ser>
          <c:idx val="1"/>
          <c:order val="1"/>
          <c:tx>
            <c:strRef>
              <c:f>'Hypothèses conso'!$B$84</c:f>
              <c:strCache>
                <c:ptCount val="1"/>
                <c:pt idx="0">
                  <c:v>tendanciel 2030</c:v>
                </c:pt>
              </c:strCache>
            </c:strRef>
          </c:tx>
          <c:spPr>
            <a:ln w="19050" cap="rnd">
              <a:solidFill>
                <a:schemeClr val="accent5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'Hypothèses conso'!$C$79:$W$79</c:f>
              <c:numCache>
                <c:formatCode>0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'Hypothèses conso'!$C$84:$W$84</c:f>
              <c:numCache>
                <c:formatCode>0.0</c:formatCode>
                <c:ptCount val="21"/>
                <c:pt idx="13">
                  <c:v>13.244364441917476</c:v>
                </c:pt>
                <c:pt idx="14">
                  <c:v>13.266598093072123</c:v>
                </c:pt>
                <c:pt idx="15">
                  <c:v>13.288831744226769</c:v>
                </c:pt>
                <c:pt idx="16">
                  <c:v>13.311065395381416</c:v>
                </c:pt>
                <c:pt idx="17">
                  <c:v>13.333299046536061</c:v>
                </c:pt>
                <c:pt idx="18">
                  <c:v>13.355532697690707</c:v>
                </c:pt>
                <c:pt idx="19">
                  <c:v>13.377766348845354</c:v>
                </c:pt>
                <c:pt idx="20">
                  <c:v>13.4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76-4A25-AB68-67E19F4DB53C}"/>
            </c:ext>
          </c:extLst>
        </c:ser>
        <c:ser>
          <c:idx val="2"/>
          <c:order val="2"/>
          <c:tx>
            <c:strRef>
              <c:f>'Hypothèses conso'!$B$85</c:f>
              <c:strCache>
                <c:ptCount val="1"/>
                <c:pt idx="0">
                  <c:v>projection 2030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'Hypothèses conso'!$C$79:$W$79</c:f>
              <c:numCache>
                <c:formatCode>0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'Hypothèses conso'!$C$85:$W$85</c:f>
              <c:numCache>
                <c:formatCode>0.0</c:formatCode>
                <c:ptCount val="21"/>
                <c:pt idx="13">
                  <c:v>13.244364441917476</c:v>
                </c:pt>
                <c:pt idx="14">
                  <c:v>13.266598093072123</c:v>
                </c:pt>
                <c:pt idx="15">
                  <c:v>13.288831744226769</c:v>
                </c:pt>
                <c:pt idx="16">
                  <c:v>13.311065395381416</c:v>
                </c:pt>
                <c:pt idx="17">
                  <c:v>13.333299046536061</c:v>
                </c:pt>
                <c:pt idx="18">
                  <c:v>13.355532697690707</c:v>
                </c:pt>
                <c:pt idx="19">
                  <c:v>13.377766348845354</c:v>
                </c:pt>
                <c:pt idx="20">
                  <c:v>13.4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76-4A25-AB68-67E19F4DB5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0097200"/>
        <c:axId val="620095560"/>
      </c:lineChart>
      <c:catAx>
        <c:axId val="6200972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620095560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620095560"/>
        <c:scaling>
          <c:orientation val="minMax"/>
          <c:max val="18"/>
          <c:min val="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620097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045538057742785"/>
          <c:y val="0.79408863373464589"/>
          <c:w val="0.83853368328958877"/>
          <c:h val="0.129453812129091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3175" cap="flat" cmpd="sng" algn="ctr">
      <a:solidFill>
        <a:schemeClr val="accent5"/>
      </a:solidFill>
      <a:round/>
    </a:ln>
    <a:effectLst/>
  </c:spPr>
  <c:txPr>
    <a:bodyPr/>
    <a:lstStyle/>
    <a:p>
      <a:pPr>
        <a:defRPr sz="800" baseline="0"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r>
              <a:rPr lang="fr-FR" sz="900" baseline="0">
                <a:latin typeface="Marianne" panose="02000000000000000000" pitchFamily="50" charset="0"/>
              </a:rPr>
              <a:t>Viandes blanches (porc et volaille)</a:t>
            </a:r>
          </a:p>
        </c:rich>
      </c:tx>
      <c:layout>
        <c:manualLayout>
          <c:xMode val="edge"/>
          <c:yMode val="edge"/>
          <c:x val="0.38270822397200349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4893482064741909E-2"/>
          <c:y val="2.5428331875182269E-2"/>
          <c:w val="0.91508814523184601"/>
          <c:h val="0.89032042869641292"/>
        </c:manualLayout>
      </c:layout>
      <c:lineChart>
        <c:grouping val="standard"/>
        <c:varyColors val="0"/>
        <c:ser>
          <c:idx val="0"/>
          <c:order val="0"/>
          <c:tx>
            <c:strRef>
              <c:f>'Hypothèses production'!$B$210</c:f>
              <c:strCache>
                <c:ptCount val="1"/>
                <c:pt idx="0">
                  <c:v>constaté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'Hypothèses production'!$C$188:$W$188</c:f>
              <c:numCache>
                <c:formatCode>0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'Hypothèses production'!$C$210:$W$210</c:f>
              <c:numCache>
                <c:formatCode>#,##0</c:formatCode>
                <c:ptCount val="21"/>
                <c:pt idx="0">
                  <c:v>214.02600000000001</c:v>
                </c:pt>
                <c:pt idx="1">
                  <c:v>204.40700000000001</c:v>
                </c:pt>
                <c:pt idx="2">
                  <c:v>201.476</c:v>
                </c:pt>
                <c:pt idx="3">
                  <c:v>199.55199999999999</c:v>
                </c:pt>
                <c:pt idx="4">
                  <c:v>201.25200000000001</c:v>
                </c:pt>
                <c:pt idx="5">
                  <c:v>202.29300000000001</c:v>
                </c:pt>
                <c:pt idx="6">
                  <c:v>202.64500000000001</c:v>
                </c:pt>
                <c:pt idx="7">
                  <c:v>199.804</c:v>
                </c:pt>
                <c:pt idx="8">
                  <c:v>198.46199999999999</c:v>
                </c:pt>
                <c:pt idx="9">
                  <c:v>195.428</c:v>
                </c:pt>
                <c:pt idx="10">
                  <c:v>198.054</c:v>
                </c:pt>
                <c:pt idx="11">
                  <c:v>202.387</c:v>
                </c:pt>
                <c:pt idx="12">
                  <c:v>186.76900000000001</c:v>
                </c:pt>
                <c:pt idx="13">
                  <c:v>186.798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1A-4F16-880E-1F4827F6C07F}"/>
            </c:ext>
          </c:extLst>
        </c:ser>
        <c:ser>
          <c:idx val="1"/>
          <c:order val="1"/>
          <c:tx>
            <c:strRef>
              <c:f>'Hypothèses production'!$B$211</c:f>
              <c:strCache>
                <c:ptCount val="1"/>
                <c:pt idx="0">
                  <c:v>2030 tendanciel</c:v>
                </c:pt>
              </c:strCache>
            </c:strRef>
          </c:tx>
          <c:spPr>
            <a:ln w="19050" cap="rnd">
              <a:solidFill>
                <a:schemeClr val="accent5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'Hypothèses production'!$C$188:$W$188</c:f>
              <c:numCache>
                <c:formatCode>0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'Hypothèses production'!$C$211:$W$211</c:f>
              <c:numCache>
                <c:formatCode>#,##0</c:formatCode>
                <c:ptCount val="21"/>
                <c:pt idx="13">
                  <c:v>186.798</c:v>
                </c:pt>
                <c:pt idx="14">
                  <c:v>186.16771428571428</c:v>
                </c:pt>
                <c:pt idx="15">
                  <c:v>185.53742857142856</c:v>
                </c:pt>
                <c:pt idx="16">
                  <c:v>184.90714285714284</c:v>
                </c:pt>
                <c:pt idx="17">
                  <c:v>184.27685714285715</c:v>
                </c:pt>
                <c:pt idx="18">
                  <c:v>183.64657142857143</c:v>
                </c:pt>
                <c:pt idx="19">
                  <c:v>183.01628571428571</c:v>
                </c:pt>
                <c:pt idx="20">
                  <c:v>182.386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1A-4F16-880E-1F4827F6C07F}"/>
            </c:ext>
          </c:extLst>
        </c:ser>
        <c:ser>
          <c:idx val="2"/>
          <c:order val="2"/>
          <c:tx>
            <c:strRef>
              <c:f>'Hypothèses production'!$B$212</c:f>
              <c:strCache>
                <c:ptCount val="1"/>
                <c:pt idx="0">
                  <c:v>2030 projection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'Hypothèses production'!$C$188:$W$188</c:f>
              <c:numCache>
                <c:formatCode>0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'Hypothèses production'!$C$212:$W$212</c:f>
              <c:numCache>
                <c:formatCode>#,##0</c:formatCode>
                <c:ptCount val="21"/>
                <c:pt idx="13">
                  <c:v>186.798</c:v>
                </c:pt>
                <c:pt idx="14">
                  <c:v>186.16771428571428</c:v>
                </c:pt>
                <c:pt idx="15">
                  <c:v>185.53742857142856</c:v>
                </c:pt>
                <c:pt idx="16">
                  <c:v>184.90714285714284</c:v>
                </c:pt>
                <c:pt idx="17">
                  <c:v>184.27685714285715</c:v>
                </c:pt>
                <c:pt idx="18">
                  <c:v>183.64657142857143</c:v>
                </c:pt>
                <c:pt idx="19">
                  <c:v>183.01628571428571</c:v>
                </c:pt>
                <c:pt idx="20">
                  <c:v>182.386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1A-4F16-880E-1F4827F6C0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0656936"/>
        <c:axId val="540653984"/>
      </c:lineChart>
      <c:catAx>
        <c:axId val="5406569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540653984"/>
        <c:crosses val="autoZero"/>
        <c:auto val="1"/>
        <c:lblAlgn val="ctr"/>
        <c:lblOffset val="100"/>
        <c:tickLblSkip val="2"/>
        <c:noMultiLvlLbl val="0"/>
      </c:catAx>
      <c:valAx>
        <c:axId val="540653984"/>
        <c:scaling>
          <c:orientation val="minMax"/>
          <c:min val="17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540656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6814063867016624"/>
          <c:y val="0.83391149023038769"/>
          <c:w val="0.73038517060367469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3175" cap="flat" cmpd="sng" algn="ctr">
      <a:solidFill>
        <a:schemeClr val="accent5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r>
              <a:rPr lang="fr-FR" sz="900" baseline="0">
                <a:latin typeface="Marianne" panose="02000000000000000000" pitchFamily="50" charset="0"/>
              </a:rPr>
              <a:t>Oeufs</a:t>
            </a:r>
          </a:p>
        </c:rich>
      </c:tx>
      <c:layout>
        <c:manualLayout>
          <c:xMode val="edge"/>
          <c:yMode val="edge"/>
          <c:x val="0.4799900870760253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6843071654669781E-2"/>
          <c:y val="2.5428331875182269E-2"/>
          <c:w val="0.91191420814887414"/>
          <c:h val="0.89032042869641292"/>
        </c:manualLayout>
      </c:layout>
      <c:lineChart>
        <c:grouping val="standard"/>
        <c:varyColors val="0"/>
        <c:ser>
          <c:idx val="0"/>
          <c:order val="0"/>
          <c:tx>
            <c:strRef>
              <c:f>'Hypothèses production'!$B$213</c:f>
              <c:strCache>
                <c:ptCount val="1"/>
                <c:pt idx="0">
                  <c:v>constaté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'Hypothèses production'!$C$188:$W$188</c:f>
              <c:numCache>
                <c:formatCode>0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'Hypothèses production'!$C$213:$W$213</c:f>
              <c:numCache>
                <c:formatCode>#,##0</c:formatCode>
                <c:ptCount val="21"/>
                <c:pt idx="0">
                  <c:v>86.836579999999998</c:v>
                </c:pt>
                <c:pt idx="1">
                  <c:v>84.596643999999998</c:v>
                </c:pt>
                <c:pt idx="2">
                  <c:v>89.402636000000001</c:v>
                </c:pt>
                <c:pt idx="3">
                  <c:v>94.487751999999986</c:v>
                </c:pt>
                <c:pt idx="4">
                  <c:v>93.936199999999999</c:v>
                </c:pt>
                <c:pt idx="5">
                  <c:v>94.816475999999994</c:v>
                </c:pt>
                <c:pt idx="6">
                  <c:v>93.897139999999993</c:v>
                </c:pt>
                <c:pt idx="7">
                  <c:v>91.470460000000003</c:v>
                </c:pt>
                <c:pt idx="8">
                  <c:v>83.584059999999994</c:v>
                </c:pt>
                <c:pt idx="9">
                  <c:v>78.878073999999998</c:v>
                </c:pt>
                <c:pt idx="10">
                  <c:v>77.456537999999995</c:v>
                </c:pt>
                <c:pt idx="11">
                  <c:v>80.225458000000003</c:v>
                </c:pt>
                <c:pt idx="12">
                  <c:v>78.956937999999994</c:v>
                </c:pt>
                <c:pt idx="13">
                  <c:v>78.535461999999995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0D-41D3-9063-875837B10630}"/>
            </c:ext>
          </c:extLst>
        </c:ser>
        <c:ser>
          <c:idx val="1"/>
          <c:order val="1"/>
          <c:tx>
            <c:strRef>
              <c:f>'Hypothèses production'!$B$214</c:f>
              <c:strCache>
                <c:ptCount val="1"/>
                <c:pt idx="0">
                  <c:v>2030 tendanciel</c:v>
                </c:pt>
              </c:strCache>
            </c:strRef>
          </c:tx>
          <c:spPr>
            <a:ln w="19050" cap="rnd">
              <a:solidFill>
                <a:schemeClr val="accent5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'Hypothèses production'!$C$188:$W$188</c:f>
              <c:numCache>
                <c:formatCode>0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'Hypothèses production'!$C$214:$W$214</c:f>
              <c:numCache>
                <c:formatCode>#,##0</c:formatCode>
                <c:ptCount val="21"/>
                <c:pt idx="13">
                  <c:v>78.535461999999995</c:v>
                </c:pt>
                <c:pt idx="14">
                  <c:v>78.409610857142852</c:v>
                </c:pt>
                <c:pt idx="15">
                  <c:v>78.283759714285708</c:v>
                </c:pt>
                <c:pt idx="16">
                  <c:v>78.157908571428564</c:v>
                </c:pt>
                <c:pt idx="17">
                  <c:v>78.032057428571434</c:v>
                </c:pt>
                <c:pt idx="18">
                  <c:v>77.906206285714291</c:v>
                </c:pt>
                <c:pt idx="19">
                  <c:v>77.780355142857147</c:v>
                </c:pt>
                <c:pt idx="20">
                  <c:v>77.654504000000003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0D-41D3-9063-875837B10630}"/>
            </c:ext>
          </c:extLst>
        </c:ser>
        <c:ser>
          <c:idx val="2"/>
          <c:order val="2"/>
          <c:tx>
            <c:strRef>
              <c:f>'Hypothèses production'!$B$215</c:f>
              <c:strCache>
                <c:ptCount val="1"/>
                <c:pt idx="0">
                  <c:v>2030 projection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'Hypothèses production'!$C$188:$W$188</c:f>
              <c:numCache>
                <c:formatCode>0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'Hypothèses production'!$C$215:$W$215</c:f>
              <c:numCache>
                <c:formatCode>#,##0</c:formatCode>
                <c:ptCount val="21"/>
                <c:pt idx="13">
                  <c:v>78.535461999999995</c:v>
                </c:pt>
                <c:pt idx="14">
                  <c:v>78.409610857142852</c:v>
                </c:pt>
                <c:pt idx="15">
                  <c:v>78.283759714285708</c:v>
                </c:pt>
                <c:pt idx="16">
                  <c:v>78.157908571428564</c:v>
                </c:pt>
                <c:pt idx="17">
                  <c:v>78.032057428571434</c:v>
                </c:pt>
                <c:pt idx="18">
                  <c:v>77.906206285714291</c:v>
                </c:pt>
                <c:pt idx="19">
                  <c:v>77.780355142857147</c:v>
                </c:pt>
                <c:pt idx="20">
                  <c:v>77.654504000000003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0D-41D3-9063-875837B106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0656936"/>
        <c:axId val="540653984"/>
      </c:lineChart>
      <c:catAx>
        <c:axId val="5406569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540653984"/>
        <c:crosses val="autoZero"/>
        <c:auto val="1"/>
        <c:lblAlgn val="ctr"/>
        <c:lblOffset val="100"/>
        <c:tickLblSkip val="2"/>
        <c:noMultiLvlLbl val="0"/>
      </c:catAx>
      <c:valAx>
        <c:axId val="540653984"/>
        <c:scaling>
          <c:orientation val="minMax"/>
          <c:min val="7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540656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6814063867016624"/>
          <c:y val="0.83391149023038769"/>
          <c:w val="0.73038517060367469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3175" cap="flat" cmpd="sng" algn="ctr">
      <a:solidFill>
        <a:schemeClr val="accent5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r>
              <a:rPr lang="fr-FR" sz="900" baseline="0">
                <a:latin typeface="Marianne" panose="02000000000000000000" pitchFamily="50" charset="0"/>
              </a:rPr>
              <a:t>Lait et produits laitiers</a:t>
            </a:r>
          </a:p>
        </c:rich>
      </c:tx>
      <c:layout>
        <c:manualLayout>
          <c:xMode val="edge"/>
          <c:yMode val="edge"/>
          <c:x val="0.38270822397200349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4893482064741909E-2"/>
          <c:y val="2.5428331875182269E-2"/>
          <c:w val="0.91508814523184601"/>
          <c:h val="0.89032042869641292"/>
        </c:manualLayout>
      </c:layout>
      <c:lineChart>
        <c:grouping val="standard"/>
        <c:varyColors val="0"/>
        <c:ser>
          <c:idx val="0"/>
          <c:order val="0"/>
          <c:tx>
            <c:strRef>
              <c:f>'Hypothèses production'!$B$216</c:f>
              <c:strCache>
                <c:ptCount val="1"/>
                <c:pt idx="0">
                  <c:v>constaté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'Hypothèses production'!$C$188:$W$188</c:f>
              <c:numCache>
                <c:formatCode>0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'Hypothèses production'!$C$216:$W$216</c:f>
              <c:numCache>
                <c:formatCode>#,##0</c:formatCode>
                <c:ptCount val="21"/>
                <c:pt idx="0">
                  <c:v>2731.5219999999999</c:v>
                </c:pt>
                <c:pt idx="1">
                  <c:v>2764.3649999999998</c:v>
                </c:pt>
                <c:pt idx="2">
                  <c:v>2784.3249999999998</c:v>
                </c:pt>
                <c:pt idx="3">
                  <c:v>2738.462</c:v>
                </c:pt>
                <c:pt idx="4">
                  <c:v>2862.3420000000001</c:v>
                </c:pt>
                <c:pt idx="5">
                  <c:v>2860.6930000000002</c:v>
                </c:pt>
                <c:pt idx="6">
                  <c:v>2783.4229999999998</c:v>
                </c:pt>
                <c:pt idx="7">
                  <c:v>2770.5369999999998</c:v>
                </c:pt>
                <c:pt idx="8">
                  <c:v>2783.6550000000002</c:v>
                </c:pt>
                <c:pt idx="9">
                  <c:v>2756.931</c:v>
                </c:pt>
                <c:pt idx="10">
                  <c:v>2781.7359999999999</c:v>
                </c:pt>
                <c:pt idx="11">
                  <c:v>2730.817</c:v>
                </c:pt>
                <c:pt idx="12">
                  <c:v>2695.1210000000001</c:v>
                </c:pt>
                <c:pt idx="13">
                  <c:v>2595.634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D6-423E-8FE1-3820797CA991}"/>
            </c:ext>
          </c:extLst>
        </c:ser>
        <c:ser>
          <c:idx val="1"/>
          <c:order val="1"/>
          <c:tx>
            <c:strRef>
              <c:f>'Hypothèses production'!$B$217</c:f>
              <c:strCache>
                <c:ptCount val="1"/>
                <c:pt idx="0">
                  <c:v>2030 tendanciel</c:v>
                </c:pt>
              </c:strCache>
            </c:strRef>
          </c:tx>
          <c:spPr>
            <a:ln w="19050" cap="rnd">
              <a:solidFill>
                <a:schemeClr val="accent5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'Hypothèses production'!$C$188:$W$188</c:f>
              <c:numCache>
                <c:formatCode>0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'Hypothèses production'!$C$217:$W$217</c:f>
              <c:numCache>
                <c:formatCode>#,##0</c:formatCode>
                <c:ptCount val="21"/>
                <c:pt idx="13">
                  <c:v>2595.634</c:v>
                </c:pt>
                <c:pt idx="14">
                  <c:v>2576.2504285714285</c:v>
                </c:pt>
                <c:pt idx="15">
                  <c:v>2556.866857142857</c:v>
                </c:pt>
                <c:pt idx="16">
                  <c:v>2537.4832857142856</c:v>
                </c:pt>
                <c:pt idx="17">
                  <c:v>2518.0997142857145</c:v>
                </c:pt>
                <c:pt idx="18">
                  <c:v>2498.716142857143</c:v>
                </c:pt>
                <c:pt idx="19">
                  <c:v>2479.3325714285716</c:v>
                </c:pt>
                <c:pt idx="20">
                  <c:v>2459.9490000000001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D6-423E-8FE1-3820797CA991}"/>
            </c:ext>
          </c:extLst>
        </c:ser>
        <c:ser>
          <c:idx val="2"/>
          <c:order val="2"/>
          <c:tx>
            <c:strRef>
              <c:f>'Hypothèses production'!$B$218</c:f>
              <c:strCache>
                <c:ptCount val="1"/>
                <c:pt idx="0">
                  <c:v>2030 projection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'Hypothèses production'!$C$188:$W$188</c:f>
              <c:numCache>
                <c:formatCode>0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'Hypothèses production'!$C$218:$W$218</c:f>
              <c:numCache>
                <c:formatCode>#,##0</c:formatCode>
                <c:ptCount val="21"/>
                <c:pt idx="13">
                  <c:v>2595.634</c:v>
                </c:pt>
                <c:pt idx="14">
                  <c:v>2576.2504285714285</c:v>
                </c:pt>
                <c:pt idx="15">
                  <c:v>2556.866857142857</c:v>
                </c:pt>
                <c:pt idx="16">
                  <c:v>2537.4832857142856</c:v>
                </c:pt>
                <c:pt idx="17">
                  <c:v>2518.0997142857145</c:v>
                </c:pt>
                <c:pt idx="18">
                  <c:v>2498.716142857143</c:v>
                </c:pt>
                <c:pt idx="19">
                  <c:v>2479.3325714285716</c:v>
                </c:pt>
                <c:pt idx="20">
                  <c:v>2459.9490000000001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D6-423E-8FE1-3820797CA9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0656936"/>
        <c:axId val="540653984"/>
      </c:lineChart>
      <c:catAx>
        <c:axId val="5406569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540653984"/>
        <c:crosses val="autoZero"/>
        <c:auto val="1"/>
        <c:lblAlgn val="ctr"/>
        <c:lblOffset val="100"/>
        <c:tickLblSkip val="2"/>
        <c:noMultiLvlLbl val="0"/>
      </c:catAx>
      <c:valAx>
        <c:axId val="540653984"/>
        <c:scaling>
          <c:orientation val="minMax"/>
          <c:max val="3000"/>
          <c:min val="2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540656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6814063867016624"/>
          <c:y val="0.83391149023038769"/>
          <c:w val="0.73038517060367469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3175" cap="flat" cmpd="sng" algn="ctr">
      <a:solidFill>
        <a:schemeClr val="accent5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705745115193938E-2"/>
          <c:y val="1.5548537606040113E-2"/>
          <c:w val="0.92567074948964712"/>
          <c:h val="0.96890292478791973"/>
        </c:manualLayout>
      </c:layout>
      <c:lineChart>
        <c:grouping val="standard"/>
        <c:varyColors val="0"/>
        <c:ser>
          <c:idx val="0"/>
          <c:order val="0"/>
          <c:tx>
            <c:strRef>
              <c:f>Résultats!$A$102</c:f>
              <c:strCache>
                <c:ptCount val="1"/>
                <c:pt idx="0">
                  <c:v>TOTAL REGIONAL (ha)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Résultats!$B$105:$V$105</c:f>
              <c:numCache>
                <c:formatCode>0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 formatCode="General">
                  <c:v>2030</c:v>
                </c:pt>
              </c:numCache>
            </c:numRef>
          </c:cat>
          <c:val>
            <c:numRef>
              <c:f>Résultats!$B$102:$V$102</c:f>
              <c:numCache>
                <c:formatCode>#,##0</c:formatCode>
                <c:ptCount val="21"/>
                <c:pt idx="0">
                  <c:v>-346886.09285058343</c:v>
                </c:pt>
                <c:pt idx="1">
                  <c:v>-330317.07070249581</c:v>
                </c:pt>
                <c:pt idx="2">
                  <c:v>-353548.93704500276</c:v>
                </c:pt>
                <c:pt idx="3">
                  <c:v>-383239.34921367915</c:v>
                </c:pt>
                <c:pt idx="4">
                  <c:v>-374995.62537306262</c:v>
                </c:pt>
                <c:pt idx="5">
                  <c:v>-380940.55230873229</c:v>
                </c:pt>
                <c:pt idx="6">
                  <c:v>-372265.0008424765</c:v>
                </c:pt>
                <c:pt idx="7">
                  <c:v>-375683.51575861679</c:v>
                </c:pt>
                <c:pt idx="8">
                  <c:v>-417994.85750685801</c:v>
                </c:pt>
                <c:pt idx="9">
                  <c:v>-447422.87076388911</c:v>
                </c:pt>
                <c:pt idx="10">
                  <c:v>-468016.40829630097</c:v>
                </c:pt>
                <c:pt idx="11">
                  <c:v>-444018.97367901407</c:v>
                </c:pt>
                <c:pt idx="12">
                  <c:v>-492750.4027312774</c:v>
                </c:pt>
                <c:pt idx="13">
                  <c:v>-474742.17430282646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49-4A1A-9BC6-C763CCB20113}"/>
            </c:ext>
          </c:extLst>
        </c:ser>
        <c:ser>
          <c:idx val="1"/>
          <c:order val="1"/>
          <c:tx>
            <c:strRef>
              <c:f>Résultats!$A$103</c:f>
              <c:strCache>
                <c:ptCount val="1"/>
                <c:pt idx="0">
                  <c:v>2030 tendanciel</c:v>
                </c:pt>
              </c:strCache>
            </c:strRef>
          </c:tx>
          <c:spPr>
            <a:ln w="19050" cap="rnd">
              <a:solidFill>
                <a:schemeClr val="accent5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13"/>
            <c:marker>
              <c:symbol val="none"/>
            </c:marker>
            <c:bubble3D val="0"/>
            <c:spPr>
              <a:ln w="19050" cap="rnd">
                <a:solidFill>
                  <a:schemeClr val="accent5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9849-4A1A-9BC6-C763CCB20113}"/>
              </c:ext>
            </c:extLst>
          </c:dPt>
          <c:dPt>
            <c:idx val="14"/>
            <c:marker>
              <c:symbol val="none"/>
            </c:marker>
            <c:bubble3D val="0"/>
            <c:spPr>
              <a:ln w="19050" cap="rnd">
                <a:solidFill>
                  <a:schemeClr val="accent5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49-4A1A-9BC6-C763CCB20113}"/>
              </c:ext>
            </c:extLst>
          </c:dPt>
          <c:dPt>
            <c:idx val="15"/>
            <c:marker>
              <c:symbol val="none"/>
            </c:marker>
            <c:bubble3D val="0"/>
            <c:spPr>
              <a:ln w="19050" cap="rnd">
                <a:solidFill>
                  <a:schemeClr val="accent5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9849-4A1A-9BC6-C763CCB20113}"/>
              </c:ext>
            </c:extLst>
          </c:dPt>
          <c:dPt>
            <c:idx val="16"/>
            <c:marker>
              <c:symbol val="none"/>
            </c:marker>
            <c:bubble3D val="0"/>
            <c:spPr>
              <a:ln w="19050" cap="rnd">
                <a:solidFill>
                  <a:schemeClr val="accent5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9849-4A1A-9BC6-C763CCB20113}"/>
              </c:ext>
            </c:extLst>
          </c:dPt>
          <c:dPt>
            <c:idx val="17"/>
            <c:marker>
              <c:symbol val="none"/>
            </c:marker>
            <c:bubble3D val="0"/>
            <c:spPr>
              <a:ln w="19050" cap="rnd">
                <a:solidFill>
                  <a:schemeClr val="accent5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849-4A1A-9BC6-C763CCB20113}"/>
              </c:ext>
            </c:extLst>
          </c:dPt>
          <c:dPt>
            <c:idx val="18"/>
            <c:marker>
              <c:symbol val="none"/>
            </c:marker>
            <c:bubble3D val="0"/>
            <c:spPr>
              <a:ln w="19050" cap="rnd">
                <a:solidFill>
                  <a:schemeClr val="accent5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849-4A1A-9BC6-C763CCB20113}"/>
              </c:ext>
            </c:extLst>
          </c:dPt>
          <c:dPt>
            <c:idx val="19"/>
            <c:marker>
              <c:symbol val="none"/>
            </c:marker>
            <c:bubble3D val="0"/>
            <c:spPr>
              <a:ln w="19050" cap="rnd">
                <a:solidFill>
                  <a:schemeClr val="accent5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E-9849-4A1A-9BC6-C763CCB20113}"/>
              </c:ext>
            </c:extLst>
          </c:dPt>
          <c:dPt>
            <c:idx val="20"/>
            <c:marker>
              <c:symbol val="none"/>
            </c:marker>
            <c:bubble3D val="0"/>
            <c:spPr>
              <a:ln w="19050" cap="rnd">
                <a:solidFill>
                  <a:schemeClr val="accent5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0-9849-4A1A-9BC6-C763CCB20113}"/>
              </c:ext>
            </c:extLst>
          </c:dPt>
          <c:cat>
            <c:numRef>
              <c:f>Résultats!$B$105:$V$105</c:f>
              <c:numCache>
                <c:formatCode>0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 formatCode="General">
                  <c:v>2030</c:v>
                </c:pt>
              </c:numCache>
            </c:numRef>
          </c:cat>
          <c:val>
            <c:numRef>
              <c:f>Résultats!$B$103:$V$103</c:f>
              <c:numCache>
                <c:formatCode>#,##0</c:formatCode>
                <c:ptCount val="21"/>
                <c:pt idx="13">
                  <c:v>-474742.17430282646</c:v>
                </c:pt>
                <c:pt idx="14">
                  <c:v>-480937.97267528903</c:v>
                </c:pt>
                <c:pt idx="15">
                  <c:v>-487133.77104775159</c:v>
                </c:pt>
                <c:pt idx="16">
                  <c:v>-493329.56942021416</c:v>
                </c:pt>
                <c:pt idx="17">
                  <c:v>-499525.36779267673</c:v>
                </c:pt>
                <c:pt idx="18">
                  <c:v>-505721.16616513929</c:v>
                </c:pt>
                <c:pt idx="19">
                  <c:v>-511916.96453760186</c:v>
                </c:pt>
                <c:pt idx="20">
                  <c:v>-518112.76291006443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849-4A1A-9BC6-C763CCB20113}"/>
            </c:ext>
          </c:extLst>
        </c:ser>
        <c:ser>
          <c:idx val="2"/>
          <c:order val="2"/>
          <c:tx>
            <c:strRef>
              <c:f>Résultats!$A$104</c:f>
              <c:strCache>
                <c:ptCount val="1"/>
                <c:pt idx="0">
                  <c:v>2030 projection</c:v>
                </c:pt>
              </c:strCache>
            </c:strRef>
          </c:tx>
          <c:spPr>
            <a:ln w="19050" cap="rnd">
              <a:solidFill>
                <a:srgbClr val="00B05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Résultats!$B$105:$V$105</c:f>
              <c:numCache>
                <c:formatCode>0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 formatCode="General">
                  <c:v>2030</c:v>
                </c:pt>
              </c:numCache>
            </c:numRef>
          </c:cat>
          <c:val>
            <c:numRef>
              <c:f>Résultats!$B$104:$V$104</c:f>
              <c:numCache>
                <c:formatCode>General</c:formatCode>
                <c:ptCount val="21"/>
                <c:pt idx="13" formatCode="#,##0">
                  <c:v>-474742.17430282646</c:v>
                </c:pt>
                <c:pt idx="14" formatCode="#,##0">
                  <c:v>-473576.93129381957</c:v>
                </c:pt>
                <c:pt idx="15" formatCode="#,##0">
                  <c:v>-472411.68828481267</c:v>
                </c:pt>
                <c:pt idx="16" formatCode="#,##0">
                  <c:v>-471246.44527580577</c:v>
                </c:pt>
                <c:pt idx="17" formatCode="#,##0">
                  <c:v>-470081.20226679894</c:v>
                </c:pt>
                <c:pt idx="18" formatCode="#,##0">
                  <c:v>-468915.95925779204</c:v>
                </c:pt>
                <c:pt idx="19" formatCode="#,##0">
                  <c:v>-467750.71624878515</c:v>
                </c:pt>
                <c:pt idx="20" formatCode="#,##0">
                  <c:v>-466585.47323977825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849-4A1A-9BC6-C763CCB201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7610696"/>
        <c:axId val="527617584"/>
      </c:lineChart>
      <c:catAx>
        <c:axId val="52761069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527617584"/>
        <c:crosses val="autoZero"/>
        <c:auto val="1"/>
        <c:lblAlgn val="ctr"/>
        <c:lblOffset val="100"/>
        <c:tickLblSkip val="5"/>
        <c:noMultiLvlLbl val="0"/>
      </c:catAx>
      <c:valAx>
        <c:axId val="527617584"/>
        <c:scaling>
          <c:orientation val="minMax"/>
          <c:max val="-3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527610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24464328322596"/>
          <c:y val="0.24168385613540322"/>
          <c:w val="0.27385216999390233"/>
          <c:h val="0.129865897624621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solidFill>
        <a:srgbClr val="0070C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882345285351722E-2"/>
          <c:y val="0.11073828061995043"/>
          <c:w val="0.88648680072015795"/>
          <c:h val="0.868591328318597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Résultats!$B$111</c:f>
              <c:strCache>
                <c:ptCount val="1"/>
                <c:pt idx="0">
                  <c:v>2010-2014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Résultats!$A$112:$A$119</c:f>
              <c:strCache>
                <c:ptCount val="8"/>
                <c:pt idx="0">
                  <c:v>céréales</c:v>
                </c:pt>
                <c:pt idx="1">
                  <c:v>oléagineux et soja</c:v>
                </c:pt>
                <c:pt idx="2">
                  <c:v>légumes secs</c:v>
                </c:pt>
                <c:pt idx="3">
                  <c:v>légumes frais</c:v>
                </c:pt>
                <c:pt idx="4">
                  <c:v>fruits</c:v>
                </c:pt>
                <c:pt idx="5">
                  <c:v>viandes</c:v>
                </c:pt>
                <c:pt idx="6">
                  <c:v>œufs</c:v>
                </c:pt>
                <c:pt idx="7">
                  <c:v>lait et pdts laitiers</c:v>
                </c:pt>
              </c:strCache>
            </c:strRef>
          </c:cat>
          <c:val>
            <c:numRef>
              <c:f>Résultats!$B$112:$B$119</c:f>
              <c:numCache>
                <c:formatCode>#,##0</c:formatCode>
                <c:ptCount val="8"/>
                <c:pt idx="0">
                  <c:v>-34901.593125359606</c:v>
                </c:pt>
                <c:pt idx="1">
                  <c:v>-43279.75241019002</c:v>
                </c:pt>
                <c:pt idx="2">
                  <c:v>-2503.7436826967969</c:v>
                </c:pt>
                <c:pt idx="3">
                  <c:v>-15423.339311140942</c:v>
                </c:pt>
                <c:pt idx="4">
                  <c:v>1399.0688205922602</c:v>
                </c:pt>
                <c:pt idx="5">
                  <c:v>-258041.19224620456</c:v>
                </c:pt>
                <c:pt idx="6">
                  <c:v>-7060.6783388657113</c:v>
                </c:pt>
                <c:pt idx="7">
                  <c:v>2013.8152569006238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30-4D83-8D7D-B539EA0A80C5}"/>
            </c:ext>
          </c:extLst>
        </c:ser>
        <c:ser>
          <c:idx val="1"/>
          <c:order val="1"/>
          <c:tx>
            <c:strRef>
              <c:f>Résultats!$C$111</c:f>
              <c:strCache>
                <c:ptCount val="1"/>
                <c:pt idx="0">
                  <c:v>2014-2018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Résultats!$A$112:$A$119</c:f>
              <c:strCache>
                <c:ptCount val="8"/>
                <c:pt idx="0">
                  <c:v>céréales</c:v>
                </c:pt>
                <c:pt idx="1">
                  <c:v>oléagineux et soja</c:v>
                </c:pt>
                <c:pt idx="2">
                  <c:v>légumes secs</c:v>
                </c:pt>
                <c:pt idx="3">
                  <c:v>légumes frais</c:v>
                </c:pt>
                <c:pt idx="4">
                  <c:v>fruits</c:v>
                </c:pt>
                <c:pt idx="5">
                  <c:v>viandes</c:v>
                </c:pt>
                <c:pt idx="6">
                  <c:v>œufs</c:v>
                </c:pt>
                <c:pt idx="7">
                  <c:v>lait et pdts laitiers</c:v>
                </c:pt>
              </c:strCache>
            </c:strRef>
          </c:cat>
          <c:val>
            <c:numRef>
              <c:f>Résultats!$C$112:$C$119</c:f>
              <c:numCache>
                <c:formatCode>#,##0</c:formatCode>
                <c:ptCount val="8"/>
                <c:pt idx="0">
                  <c:v>-43618.843192720946</c:v>
                </c:pt>
                <c:pt idx="1">
                  <c:v>-39867.668938685281</c:v>
                </c:pt>
                <c:pt idx="2">
                  <c:v>-2725.193880716758</c:v>
                </c:pt>
                <c:pt idx="3">
                  <c:v>-15325.625838704378</c:v>
                </c:pt>
                <c:pt idx="4">
                  <c:v>-350.22676121939725</c:v>
                </c:pt>
                <c:pt idx="5">
                  <c:v>-274436.23893293174</c:v>
                </c:pt>
                <c:pt idx="6">
                  <c:v>-10281.495924277511</c:v>
                </c:pt>
                <c:pt idx="7">
                  <c:v>2229.3831113067436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30-4D83-8D7D-B539EA0A80C5}"/>
            </c:ext>
          </c:extLst>
        </c:ser>
        <c:ser>
          <c:idx val="2"/>
          <c:order val="2"/>
          <c:tx>
            <c:strRef>
              <c:f>Résultats!$D$111</c:f>
              <c:strCache>
                <c:ptCount val="1"/>
                <c:pt idx="0">
                  <c:v>2019-2023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Résultats!$A$112:$A$119</c:f>
              <c:strCache>
                <c:ptCount val="8"/>
                <c:pt idx="0">
                  <c:v>céréales</c:v>
                </c:pt>
                <c:pt idx="1">
                  <c:v>oléagineux et soja</c:v>
                </c:pt>
                <c:pt idx="2">
                  <c:v>légumes secs</c:v>
                </c:pt>
                <c:pt idx="3">
                  <c:v>légumes frais</c:v>
                </c:pt>
                <c:pt idx="4">
                  <c:v>fruits</c:v>
                </c:pt>
                <c:pt idx="5">
                  <c:v>viandes</c:v>
                </c:pt>
                <c:pt idx="6">
                  <c:v>œufs</c:v>
                </c:pt>
                <c:pt idx="7">
                  <c:v>lait et pdts laitiers</c:v>
                </c:pt>
              </c:strCache>
            </c:strRef>
          </c:cat>
          <c:val>
            <c:numRef>
              <c:f>Résultats!$D$112:$D$119</c:f>
              <c:numCache>
                <c:formatCode>#,##0</c:formatCode>
                <c:ptCount val="8"/>
                <c:pt idx="0">
                  <c:v>-62738.219362546668</c:v>
                </c:pt>
                <c:pt idx="1">
                  <c:v>-39414.03194525982</c:v>
                </c:pt>
                <c:pt idx="2">
                  <c:v>-8277.4939066792558</c:v>
                </c:pt>
                <c:pt idx="3">
                  <c:v>-15165.851148182846</c:v>
                </c:pt>
                <c:pt idx="4">
                  <c:v>-4493.423586185645</c:v>
                </c:pt>
                <c:pt idx="5">
                  <c:v>-294942.25921295991</c:v>
                </c:pt>
                <c:pt idx="6">
                  <c:v>-26170.664673400002</c:v>
                </c:pt>
                <c:pt idx="7">
                  <c:v>-14188.222119447437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C30-4D83-8D7D-B539EA0A80C5}"/>
            </c:ext>
          </c:extLst>
        </c:ser>
        <c:ser>
          <c:idx val="3"/>
          <c:order val="3"/>
          <c:tx>
            <c:strRef>
              <c:f>Résultats!$E$111</c:f>
              <c:strCache>
                <c:ptCount val="1"/>
                <c:pt idx="0">
                  <c:v>2030
tendanciel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Résultats!$A$112:$A$119</c:f>
              <c:strCache>
                <c:ptCount val="8"/>
                <c:pt idx="0">
                  <c:v>céréales</c:v>
                </c:pt>
                <c:pt idx="1">
                  <c:v>oléagineux et soja</c:v>
                </c:pt>
                <c:pt idx="2">
                  <c:v>légumes secs</c:v>
                </c:pt>
                <c:pt idx="3">
                  <c:v>légumes frais</c:v>
                </c:pt>
                <c:pt idx="4">
                  <c:v>fruits</c:v>
                </c:pt>
                <c:pt idx="5">
                  <c:v>viandes</c:v>
                </c:pt>
                <c:pt idx="6">
                  <c:v>œufs</c:v>
                </c:pt>
                <c:pt idx="7">
                  <c:v>lait et pdts laitiers</c:v>
                </c:pt>
              </c:strCache>
            </c:strRef>
          </c:cat>
          <c:val>
            <c:numRef>
              <c:f>Résultats!$E$112:$E$119</c:f>
              <c:numCache>
                <c:formatCode>#,##0</c:formatCode>
                <c:ptCount val="8"/>
                <c:pt idx="0">
                  <c:v>-67637.509481824949</c:v>
                </c:pt>
                <c:pt idx="1">
                  <c:v>-40220.173707493901</c:v>
                </c:pt>
                <c:pt idx="2">
                  <c:v>-12041.889913954874</c:v>
                </c:pt>
                <c:pt idx="3">
                  <c:v>-15768.506265018717</c:v>
                </c:pt>
                <c:pt idx="4">
                  <c:v>-5948.9478625325555</c:v>
                </c:pt>
                <c:pt idx="5">
                  <c:v>-308136.79941375559</c:v>
                </c:pt>
                <c:pt idx="6">
                  <c:v>-34939.622080000001</c:v>
                </c:pt>
                <c:pt idx="7">
                  <c:v>-33419.314185483876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C30-4D83-8D7D-B539EA0A80C5}"/>
            </c:ext>
          </c:extLst>
        </c:ser>
        <c:ser>
          <c:idx val="4"/>
          <c:order val="4"/>
          <c:tx>
            <c:strRef>
              <c:f>Résultats!$F$111</c:f>
              <c:strCache>
                <c:ptCount val="1"/>
                <c:pt idx="0">
                  <c:v>2030
projection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Résultats!$A$112:$A$119</c:f>
              <c:strCache>
                <c:ptCount val="8"/>
                <c:pt idx="0">
                  <c:v>céréales</c:v>
                </c:pt>
                <c:pt idx="1">
                  <c:v>oléagineux et soja</c:v>
                </c:pt>
                <c:pt idx="2">
                  <c:v>légumes secs</c:v>
                </c:pt>
                <c:pt idx="3">
                  <c:v>légumes frais</c:v>
                </c:pt>
                <c:pt idx="4">
                  <c:v>fruits</c:v>
                </c:pt>
                <c:pt idx="5">
                  <c:v>viandes</c:v>
                </c:pt>
                <c:pt idx="6">
                  <c:v>œufs</c:v>
                </c:pt>
                <c:pt idx="7">
                  <c:v>lait et pdts laitiers</c:v>
                </c:pt>
              </c:strCache>
            </c:strRef>
          </c:cat>
          <c:val>
            <c:numRef>
              <c:f>Résultats!$F$112:$F$119</c:f>
              <c:numCache>
                <c:formatCode>#,##0</c:formatCode>
                <c:ptCount val="8"/>
                <c:pt idx="0">
                  <c:v>-76148.56173410351</c:v>
                </c:pt>
                <c:pt idx="1">
                  <c:v>-40220.173707493901</c:v>
                </c:pt>
                <c:pt idx="2">
                  <c:v>-13726.681860263601</c:v>
                </c:pt>
                <c:pt idx="3">
                  <c:v>-16366.134732396567</c:v>
                </c:pt>
                <c:pt idx="4">
                  <c:v>-6867.6952556591805</c:v>
                </c:pt>
                <c:pt idx="5">
                  <c:v>-264952.47692308732</c:v>
                </c:pt>
                <c:pt idx="6">
                  <c:v>-33107.073880000004</c:v>
                </c:pt>
                <c:pt idx="7">
                  <c:v>-15196.675146774207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C30-4D83-8D7D-B539EA0A80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9403376"/>
        <c:axId val="669409936"/>
      </c:barChart>
      <c:catAx>
        <c:axId val="669403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669409936"/>
        <c:crosses val="autoZero"/>
        <c:auto val="1"/>
        <c:lblAlgn val="ctr"/>
        <c:lblOffset val="100"/>
        <c:noMultiLvlLbl val="0"/>
      </c:catAx>
      <c:valAx>
        <c:axId val="669409936"/>
        <c:scaling>
          <c:orientation val="minMax"/>
          <c:max val="10000"/>
          <c:min val="-31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669403376"/>
        <c:crosses val="autoZero"/>
        <c:crossBetween val="between"/>
        <c:minorUnit val="5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4229102509727268"/>
          <c:y val="0.77930051332079064"/>
          <c:w val="0.29258936309776262"/>
          <c:h val="0.220699486679209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3175" cap="flat" cmpd="sng" algn="ctr">
      <a:solidFill>
        <a:schemeClr val="accent5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82650729809853E-2"/>
          <c:y val="2.1637426900584796E-2"/>
          <c:w val="0.92817349270190153"/>
          <c:h val="0.776363812137556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Résultats!$B$157</c:f>
              <c:strCache>
                <c:ptCount val="1"/>
                <c:pt idx="0">
                  <c:v>2010-2014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Résultats!$A$158:$A$165</c:f>
              <c:strCache>
                <c:ptCount val="8"/>
                <c:pt idx="0">
                  <c:v>céréales</c:v>
                </c:pt>
                <c:pt idx="1">
                  <c:v>oléagineux et soja</c:v>
                </c:pt>
                <c:pt idx="2">
                  <c:v>légumes secs</c:v>
                </c:pt>
                <c:pt idx="3">
                  <c:v>légumes frais</c:v>
                </c:pt>
                <c:pt idx="4">
                  <c:v>fruits</c:v>
                </c:pt>
                <c:pt idx="5">
                  <c:v>viandes</c:v>
                </c:pt>
                <c:pt idx="6">
                  <c:v>œufs</c:v>
                </c:pt>
                <c:pt idx="7">
                  <c:v>lait et pdts laitiers</c:v>
                </c:pt>
              </c:strCache>
            </c:strRef>
          </c:cat>
          <c:val>
            <c:numRef>
              <c:f>Résultats!$B$158:$B$165</c:f>
              <c:numCache>
                <c:formatCode>0%</c:formatCode>
                <c:ptCount val="8"/>
                <c:pt idx="0">
                  <c:v>0.75569916156902206</c:v>
                </c:pt>
                <c:pt idx="1">
                  <c:v>0.41397576228318023</c:v>
                </c:pt>
                <c:pt idx="2">
                  <c:v>0.66385954252425783</c:v>
                </c:pt>
                <c:pt idx="3">
                  <c:v>0.28948283444676293</c:v>
                </c:pt>
                <c:pt idx="4">
                  <c:v>1.1166374079944983</c:v>
                </c:pt>
                <c:pt idx="5">
                  <c:v>0.56628026239696705</c:v>
                </c:pt>
                <c:pt idx="6">
                  <c:v>0.90374543017386544</c:v>
                </c:pt>
                <c:pt idx="7">
                  <c:v>1.0121284478032073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8D-47BC-95F4-78295AFF265C}"/>
            </c:ext>
          </c:extLst>
        </c:ser>
        <c:ser>
          <c:idx val="1"/>
          <c:order val="1"/>
          <c:tx>
            <c:strRef>
              <c:f>Résultats!$C$157</c:f>
              <c:strCache>
                <c:ptCount val="1"/>
                <c:pt idx="0">
                  <c:v>2014-2018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Résultats!$A$158:$A$165</c:f>
              <c:strCache>
                <c:ptCount val="8"/>
                <c:pt idx="0">
                  <c:v>céréales</c:v>
                </c:pt>
                <c:pt idx="1">
                  <c:v>oléagineux et soja</c:v>
                </c:pt>
                <c:pt idx="2">
                  <c:v>légumes secs</c:v>
                </c:pt>
                <c:pt idx="3">
                  <c:v>légumes frais</c:v>
                </c:pt>
                <c:pt idx="4">
                  <c:v>fruits</c:v>
                </c:pt>
                <c:pt idx="5">
                  <c:v>viandes</c:v>
                </c:pt>
                <c:pt idx="6">
                  <c:v>œufs</c:v>
                </c:pt>
                <c:pt idx="7">
                  <c:v>lait et pdts laitiers</c:v>
                </c:pt>
              </c:strCache>
            </c:strRef>
          </c:cat>
          <c:val>
            <c:numRef>
              <c:f>Résultats!$C$158:$C$165</c:f>
              <c:numCache>
                <c:formatCode>0%</c:formatCode>
                <c:ptCount val="8"/>
                <c:pt idx="0">
                  <c:v>0.71040318385227885</c:v>
                </c:pt>
                <c:pt idx="1">
                  <c:v>0.43048510283225327</c:v>
                </c:pt>
                <c:pt idx="2">
                  <c:v>0.67978749377137837</c:v>
                </c:pt>
                <c:pt idx="3">
                  <c:v>0.30453924231605428</c:v>
                </c:pt>
                <c:pt idx="4">
                  <c:v>0.99254588455060744</c:v>
                </c:pt>
                <c:pt idx="5">
                  <c:v>0.53938723442364345</c:v>
                </c:pt>
                <c:pt idx="6">
                  <c:v>0.86723290076099635</c:v>
                </c:pt>
                <c:pt idx="7">
                  <c:v>1.0132378426863697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8D-47BC-95F4-78295AFF265C}"/>
            </c:ext>
          </c:extLst>
        </c:ser>
        <c:ser>
          <c:idx val="2"/>
          <c:order val="2"/>
          <c:tx>
            <c:strRef>
              <c:f>Résultats!$D$157</c:f>
              <c:strCache>
                <c:ptCount val="1"/>
                <c:pt idx="0">
                  <c:v>2019-2023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Résultats!$A$158:$A$165</c:f>
              <c:strCache>
                <c:ptCount val="8"/>
                <c:pt idx="0">
                  <c:v>céréales</c:v>
                </c:pt>
                <c:pt idx="1">
                  <c:v>oléagineux et soja</c:v>
                </c:pt>
                <c:pt idx="2">
                  <c:v>légumes secs</c:v>
                </c:pt>
                <c:pt idx="3">
                  <c:v>légumes frais</c:v>
                </c:pt>
                <c:pt idx="4">
                  <c:v>fruits</c:v>
                </c:pt>
                <c:pt idx="5">
                  <c:v>viandes</c:v>
                </c:pt>
                <c:pt idx="6">
                  <c:v>œufs</c:v>
                </c:pt>
                <c:pt idx="7">
                  <c:v>lait et pdts laitiers</c:v>
                </c:pt>
              </c:strCache>
            </c:strRef>
          </c:cat>
          <c:val>
            <c:numRef>
              <c:f>Résultats!$D$158:$D$165</c:f>
              <c:numCache>
                <c:formatCode>0%</c:formatCode>
                <c:ptCount val="8"/>
                <c:pt idx="0">
                  <c:v>0.62115377157155816</c:v>
                </c:pt>
                <c:pt idx="1">
                  <c:v>0.47250913194933331</c:v>
                </c:pt>
                <c:pt idx="2">
                  <c:v>0.39509183112247859</c:v>
                </c:pt>
                <c:pt idx="3">
                  <c:v>0.31187937972072377</c:v>
                </c:pt>
                <c:pt idx="4">
                  <c:v>0.78391365733982799</c:v>
                </c:pt>
                <c:pt idx="5">
                  <c:v>0.49907059955152988</c:v>
                </c:pt>
                <c:pt idx="6">
                  <c:v>0.68975677681278169</c:v>
                </c:pt>
                <c:pt idx="7">
                  <c:v>0.9207839440910055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8D-47BC-95F4-78295AFF265C}"/>
            </c:ext>
          </c:extLst>
        </c:ser>
        <c:ser>
          <c:idx val="3"/>
          <c:order val="3"/>
          <c:tx>
            <c:strRef>
              <c:f>Résultats!$E$157</c:f>
              <c:strCache>
                <c:ptCount val="1"/>
                <c:pt idx="0">
                  <c:v>2030
tendanciel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Résultats!$A$158:$A$165</c:f>
              <c:strCache>
                <c:ptCount val="8"/>
                <c:pt idx="0">
                  <c:v>céréales</c:v>
                </c:pt>
                <c:pt idx="1">
                  <c:v>oléagineux et soja</c:v>
                </c:pt>
                <c:pt idx="2">
                  <c:v>légumes secs</c:v>
                </c:pt>
                <c:pt idx="3">
                  <c:v>légumes frais</c:v>
                </c:pt>
                <c:pt idx="4">
                  <c:v>fruits</c:v>
                </c:pt>
                <c:pt idx="5">
                  <c:v>viandes</c:v>
                </c:pt>
                <c:pt idx="6">
                  <c:v>œufs</c:v>
                </c:pt>
                <c:pt idx="7">
                  <c:v>lait et pdts laitiers</c:v>
                </c:pt>
              </c:strCache>
            </c:strRef>
          </c:cat>
          <c:val>
            <c:numRef>
              <c:f>Résultats!$E$158:$E$165</c:f>
              <c:numCache>
                <c:formatCode>0%</c:formatCode>
                <c:ptCount val="8"/>
                <c:pt idx="0">
                  <c:v>0.60264895880696046</c:v>
                </c:pt>
                <c:pt idx="1">
                  <c:v>0.48688450213869844</c:v>
                </c:pt>
                <c:pt idx="2">
                  <c:v>0.28525952772163288</c:v>
                </c:pt>
                <c:pt idx="3">
                  <c:v>0.30303423728634138</c:v>
                </c:pt>
                <c:pt idx="4">
                  <c:v>0.6762468167508241</c:v>
                </c:pt>
                <c:pt idx="5">
                  <c:v>0.46146836683477138</c:v>
                </c:pt>
                <c:pt idx="6">
                  <c:v>0.61867718317040721</c:v>
                </c:pt>
                <c:pt idx="7">
                  <c:v>0.81660551957105409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D8D-47BC-95F4-78295AFF265C}"/>
            </c:ext>
          </c:extLst>
        </c:ser>
        <c:ser>
          <c:idx val="4"/>
          <c:order val="4"/>
          <c:tx>
            <c:strRef>
              <c:f>Résultats!$F$157</c:f>
              <c:strCache>
                <c:ptCount val="1"/>
                <c:pt idx="0">
                  <c:v>2030
projection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Résultats!$A$158:$A$165</c:f>
              <c:strCache>
                <c:ptCount val="8"/>
                <c:pt idx="0">
                  <c:v>céréales</c:v>
                </c:pt>
                <c:pt idx="1">
                  <c:v>oléagineux et soja</c:v>
                </c:pt>
                <c:pt idx="2">
                  <c:v>légumes secs</c:v>
                </c:pt>
                <c:pt idx="3">
                  <c:v>légumes frais</c:v>
                </c:pt>
                <c:pt idx="4">
                  <c:v>fruits</c:v>
                </c:pt>
                <c:pt idx="5">
                  <c:v>viandes</c:v>
                </c:pt>
                <c:pt idx="6">
                  <c:v>œufs</c:v>
                </c:pt>
                <c:pt idx="7">
                  <c:v>lait et pdts laitiers</c:v>
                </c:pt>
              </c:strCache>
            </c:strRef>
          </c:cat>
          <c:val>
            <c:numRef>
              <c:f>Résultats!$F$158:$F$165</c:f>
              <c:numCache>
                <c:formatCode>0%</c:formatCode>
                <c:ptCount val="8"/>
                <c:pt idx="0">
                  <c:v>0.57395138933996226</c:v>
                </c:pt>
                <c:pt idx="1">
                  <c:v>0.48688450213869844</c:v>
                </c:pt>
                <c:pt idx="2">
                  <c:v>0.25932684338330259</c:v>
                </c:pt>
                <c:pt idx="3">
                  <c:v>0.29523556206206059</c:v>
                </c:pt>
                <c:pt idx="4">
                  <c:v>0.64404458738173731</c:v>
                </c:pt>
                <c:pt idx="5">
                  <c:v>0.49289011143900818</c:v>
                </c:pt>
                <c:pt idx="6">
                  <c:v>0.6313032481330686</c:v>
                </c:pt>
                <c:pt idx="7">
                  <c:v>0.90733946619006012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D8D-47BC-95F4-78295AFF26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4332064"/>
        <c:axId val="414331736"/>
      </c:barChart>
      <c:lineChart>
        <c:grouping val="standard"/>
        <c:varyColors val="0"/>
        <c:ser>
          <c:idx val="5"/>
          <c:order val="5"/>
          <c:tx>
            <c:strRef>
              <c:f>Résultats!$G$157</c:f>
              <c:strCache>
                <c:ptCount val="1"/>
                <c:pt idx="0">
                  <c:v>équilibre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Résultats!$A$158:$A$165</c:f>
              <c:strCache>
                <c:ptCount val="8"/>
                <c:pt idx="0">
                  <c:v>céréales</c:v>
                </c:pt>
                <c:pt idx="1">
                  <c:v>oléagineux et soja</c:v>
                </c:pt>
                <c:pt idx="2">
                  <c:v>légumes secs</c:v>
                </c:pt>
                <c:pt idx="3">
                  <c:v>légumes frais</c:v>
                </c:pt>
                <c:pt idx="4">
                  <c:v>fruits</c:v>
                </c:pt>
                <c:pt idx="5">
                  <c:v>viandes</c:v>
                </c:pt>
                <c:pt idx="6">
                  <c:v>œufs</c:v>
                </c:pt>
                <c:pt idx="7">
                  <c:v>lait et pdts laitiers</c:v>
                </c:pt>
              </c:strCache>
            </c:strRef>
          </c:cat>
          <c:val>
            <c:numRef>
              <c:f>Résultats!$G$158:$G$165</c:f>
              <c:numCache>
                <c:formatCode>0%</c:formatCode>
                <c:ptCount val="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8D-47BC-95F4-78295AFF26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332064"/>
        <c:axId val="414331736"/>
      </c:lineChart>
      <c:catAx>
        <c:axId val="414332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414331736"/>
        <c:crosses val="autoZero"/>
        <c:auto val="1"/>
        <c:lblAlgn val="ctr"/>
        <c:lblOffset val="100"/>
        <c:noMultiLvlLbl val="0"/>
      </c:catAx>
      <c:valAx>
        <c:axId val="414331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414332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0383693045563584E-3"/>
          <c:y val="0.91177610495224659"/>
          <c:w val="0.99796163069544364"/>
          <c:h val="8.82238950477534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3175" cap="flat" cmpd="sng" algn="ctr">
      <a:solidFill>
        <a:schemeClr val="accent5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869810133382445E-2"/>
          <c:y val="1.8262742094893997E-2"/>
          <c:w val="0.91178600481957295"/>
          <c:h val="0.963007965650179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Résultats!$A$79</c:f>
              <c:strCache>
                <c:ptCount val="1"/>
                <c:pt idx="0">
                  <c:v>légumes secs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strRef>
              <c:f>Résultats!$B$72:$W$72</c:f>
              <c:strCache>
                <c:ptCount val="2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tendanciel</c:v>
                </c:pt>
                <c:pt idx="21">
                  <c:v>projection</c:v>
                </c:pt>
              </c:strCache>
            </c:strRef>
          </c:cat>
          <c:val>
            <c:numRef>
              <c:f>Résultats!$B$79:$W$79</c:f>
              <c:numCache>
                <c:formatCode>#,##0</c:formatCode>
                <c:ptCount val="22"/>
                <c:pt idx="0">
                  <c:v>352.87822687710121</c:v>
                </c:pt>
                <c:pt idx="1">
                  <c:v>-1712.2937919205992</c:v>
                </c:pt>
                <c:pt idx="2">
                  <c:v>-2965.212033783996</c:v>
                </c:pt>
                <c:pt idx="3">
                  <c:v>-4149.2621148900125</c:v>
                </c:pt>
                <c:pt idx="4">
                  <c:v>-4044.8286997664782</c:v>
                </c:pt>
                <c:pt idx="5">
                  <c:v>-892.8949542812569</c:v>
                </c:pt>
                <c:pt idx="6">
                  <c:v>-1769.9233371920561</c:v>
                </c:pt>
                <c:pt idx="7">
                  <c:v>-1863.5178094161424</c:v>
                </c:pt>
                <c:pt idx="8">
                  <c:v>-5054.8046029278576</c:v>
                </c:pt>
                <c:pt idx="9">
                  <c:v>-6338.3143803513658</c:v>
                </c:pt>
                <c:pt idx="10">
                  <c:v>-8152.5617456545378</c:v>
                </c:pt>
                <c:pt idx="11">
                  <c:v>-6326.5799573696941</c:v>
                </c:pt>
                <c:pt idx="12">
                  <c:v>-11108.697128237218</c:v>
                </c:pt>
                <c:pt idx="13">
                  <c:v>-9461.3163217834681</c:v>
                </c:pt>
                <c:pt idx="20">
                  <c:v>-12041.889913954874</c:v>
                </c:pt>
                <c:pt idx="21">
                  <c:v>-13726.681860263601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BC-415C-A7D4-64F0D11CC823}"/>
            </c:ext>
          </c:extLst>
        </c:ser>
        <c:ser>
          <c:idx val="1"/>
          <c:order val="1"/>
          <c:tx>
            <c:strRef>
              <c:f>Résultats!$A$95</c:f>
              <c:strCache>
                <c:ptCount val="1"/>
                <c:pt idx="0">
                  <c:v>œuf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Résultats!$B$72:$W$72</c:f>
              <c:strCache>
                <c:ptCount val="2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tendanciel</c:v>
                </c:pt>
                <c:pt idx="21">
                  <c:v>projection</c:v>
                </c:pt>
              </c:strCache>
            </c:strRef>
          </c:cat>
          <c:val>
            <c:numRef>
              <c:f>Résultats!$B$95:$W$95</c:f>
              <c:numCache>
                <c:formatCode>#,##0</c:formatCode>
                <c:ptCount val="22"/>
                <c:pt idx="0">
                  <c:v>-11427.440805601904</c:v>
                </c:pt>
                <c:pt idx="1">
                  <c:v>-6074.8303526696081</c:v>
                </c:pt>
                <c:pt idx="2">
                  <c:v>-3382.5652453327389</c:v>
                </c:pt>
                <c:pt idx="3">
                  <c:v>-7553.9018087368568</c:v>
                </c:pt>
                <c:pt idx="4">
                  <c:v>-6864.6534819874541</c:v>
                </c:pt>
                <c:pt idx="5">
                  <c:v>-7892.8424147540272</c:v>
                </c:pt>
                <c:pt idx="6">
                  <c:v>-7281.5992774920214</c:v>
                </c:pt>
                <c:pt idx="7">
                  <c:v>-12902.292433897155</c:v>
                </c:pt>
                <c:pt idx="8">
                  <c:v>-16466.092013256894</c:v>
                </c:pt>
                <c:pt idx="9">
                  <c:v>-17572.199964000014</c:v>
                </c:pt>
                <c:pt idx="10">
                  <c:v>-26610.292295999996</c:v>
                </c:pt>
                <c:pt idx="11">
                  <c:v>-25544.175621999999</c:v>
                </c:pt>
                <c:pt idx="12">
                  <c:v>-28696.833995000005</c:v>
                </c:pt>
                <c:pt idx="13">
                  <c:v>-32429.821489999998</c:v>
                </c:pt>
                <c:pt idx="20">
                  <c:v>-34939.622080000001</c:v>
                </c:pt>
                <c:pt idx="21">
                  <c:v>-33107.073880000004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BC-415C-A7D4-64F0D11CC823}"/>
            </c:ext>
          </c:extLst>
        </c:ser>
        <c:ser>
          <c:idx val="2"/>
          <c:order val="2"/>
          <c:tx>
            <c:strRef>
              <c:f>Résultats!$A$96</c:f>
              <c:strCache>
                <c:ptCount val="1"/>
                <c:pt idx="0">
                  <c:v>lait et produits laitiers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Résultats!$B$72:$W$72</c:f>
              <c:strCache>
                <c:ptCount val="2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tendanciel</c:v>
                </c:pt>
                <c:pt idx="21">
                  <c:v>projection</c:v>
                </c:pt>
              </c:strCache>
            </c:strRef>
          </c:cat>
          <c:val>
            <c:numRef>
              <c:f>Résultats!$B$96:$W$96</c:f>
              <c:numCache>
                <c:formatCode>#,##0</c:formatCode>
                <c:ptCount val="22"/>
                <c:pt idx="0">
                  <c:v>1624.3821329003426</c:v>
                </c:pt>
                <c:pt idx="1">
                  <c:v>2810.8340083222242</c:v>
                </c:pt>
                <c:pt idx="2">
                  <c:v>3306.0318168259573</c:v>
                </c:pt>
                <c:pt idx="3">
                  <c:v>-439.21685865633151</c:v>
                </c:pt>
                <c:pt idx="4">
                  <c:v>2767.0451851109256</c:v>
                </c:pt>
                <c:pt idx="5">
                  <c:v>3836.3509838931086</c:v>
                </c:pt>
                <c:pt idx="6">
                  <c:v>2062.7793682788511</c:v>
                </c:pt>
                <c:pt idx="7">
                  <c:v>1038.1382434539662</c:v>
                </c:pt>
                <c:pt idx="8">
                  <c:v>1442.601775796865</c:v>
                </c:pt>
                <c:pt idx="9">
                  <c:v>-12218.446955847123</c:v>
                </c:pt>
                <c:pt idx="10">
                  <c:v>-4895.8746438403386</c:v>
                </c:pt>
                <c:pt idx="11">
                  <c:v>-15431.539683677425</c:v>
                </c:pt>
                <c:pt idx="12">
                  <c:v>-15625.56182605727</c:v>
                </c:pt>
                <c:pt idx="13">
                  <c:v>-22769.687487815034</c:v>
                </c:pt>
                <c:pt idx="20">
                  <c:v>-33419.314185483876</c:v>
                </c:pt>
                <c:pt idx="21">
                  <c:v>-15196.675146774207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BC-415C-A7D4-64F0D11CC823}"/>
            </c:ext>
          </c:extLst>
        </c:ser>
        <c:ser>
          <c:idx val="3"/>
          <c:order val="3"/>
          <c:tx>
            <c:strRef>
              <c:f>Résultats!$A$97</c:f>
              <c:strCache>
                <c:ptCount val="1"/>
                <c:pt idx="0">
                  <c:v>céréales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Résultats!$B$72:$W$72</c:f>
              <c:strCache>
                <c:ptCount val="2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tendanciel</c:v>
                </c:pt>
                <c:pt idx="21">
                  <c:v>projection</c:v>
                </c:pt>
              </c:strCache>
            </c:strRef>
          </c:cat>
          <c:val>
            <c:numRef>
              <c:f>Résultats!$B$97:$W$97</c:f>
              <c:numCache>
                <c:formatCode>#,##0</c:formatCode>
                <c:ptCount val="22"/>
                <c:pt idx="0">
                  <c:v>-26616.356626840399</c:v>
                </c:pt>
                <c:pt idx="1">
                  <c:v>-45852.745397974591</c:v>
                </c:pt>
                <c:pt idx="2">
                  <c:v>-27638.829656349379</c:v>
                </c:pt>
                <c:pt idx="3">
                  <c:v>-31919.691326309505</c:v>
                </c:pt>
                <c:pt idx="4">
                  <c:v>-42480.342619324168</c:v>
                </c:pt>
                <c:pt idx="5">
                  <c:v>-40206.249543317841</c:v>
                </c:pt>
                <c:pt idx="6">
                  <c:v>-39807.228212906979</c:v>
                </c:pt>
                <c:pt idx="7">
                  <c:v>-39040.452344724843</c:v>
                </c:pt>
                <c:pt idx="8">
                  <c:v>-56559.943243330861</c:v>
                </c:pt>
                <c:pt idx="9">
                  <c:v>-60944.414097952802</c:v>
                </c:pt>
                <c:pt idx="10">
                  <c:v>-77609.36101348231</c:v>
                </c:pt>
                <c:pt idx="11">
                  <c:v>-44218.787049771738</c:v>
                </c:pt>
                <c:pt idx="12">
                  <c:v>-78277.936655656289</c:v>
                </c:pt>
                <c:pt idx="13">
                  <c:v>-52640.597995870172</c:v>
                </c:pt>
                <c:pt idx="20">
                  <c:v>-67637.509481824949</c:v>
                </c:pt>
                <c:pt idx="21">
                  <c:v>-76148.56173410351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BC-415C-A7D4-64F0D11CC823}"/>
            </c:ext>
          </c:extLst>
        </c:ser>
        <c:ser>
          <c:idx val="4"/>
          <c:order val="4"/>
          <c:tx>
            <c:strRef>
              <c:f>Résultats!$A$98</c:f>
              <c:strCache>
                <c:ptCount val="1"/>
                <c:pt idx="0">
                  <c:v>oléagineux et soja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Résultats!$B$72:$W$72</c:f>
              <c:strCache>
                <c:ptCount val="2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tendanciel</c:v>
                </c:pt>
                <c:pt idx="21">
                  <c:v>projection</c:v>
                </c:pt>
              </c:strCache>
            </c:strRef>
          </c:cat>
          <c:val>
            <c:numRef>
              <c:f>Résultats!$B$98:$W$98</c:f>
              <c:numCache>
                <c:formatCode>#,##0</c:formatCode>
                <c:ptCount val="22"/>
                <c:pt idx="0">
                  <c:v>-44559.807783546763</c:v>
                </c:pt>
                <c:pt idx="1">
                  <c:v>-28847.513697701001</c:v>
                </c:pt>
                <c:pt idx="2">
                  <c:v>-48728.937398440416</c:v>
                </c:pt>
                <c:pt idx="3">
                  <c:v>-59712.975716286339</c:v>
                </c:pt>
                <c:pt idx="4">
                  <c:v>-34549.52745497557</c:v>
                </c:pt>
                <c:pt idx="5">
                  <c:v>-49161.988212689161</c:v>
                </c:pt>
                <c:pt idx="6">
                  <c:v>-41900.398917704231</c:v>
                </c:pt>
                <c:pt idx="7">
                  <c:v>-37668.577306161598</c:v>
                </c:pt>
                <c:pt idx="8">
                  <c:v>-36057.852801895802</c:v>
                </c:pt>
                <c:pt idx="9">
                  <c:v>-42499.990206512288</c:v>
                </c:pt>
                <c:pt idx="10">
                  <c:v>-49623.929259884768</c:v>
                </c:pt>
                <c:pt idx="11">
                  <c:v>-35253.042185643309</c:v>
                </c:pt>
                <c:pt idx="12">
                  <c:v>-37117.221580226564</c:v>
                </c:pt>
                <c:pt idx="13">
                  <c:v>-32575.976494032177</c:v>
                </c:pt>
                <c:pt idx="20">
                  <c:v>-40220.173707493901</c:v>
                </c:pt>
                <c:pt idx="21">
                  <c:v>-40220.173707493901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FBC-415C-A7D4-64F0D11CC823}"/>
            </c:ext>
          </c:extLst>
        </c:ser>
        <c:ser>
          <c:idx val="5"/>
          <c:order val="5"/>
          <c:tx>
            <c:strRef>
              <c:f>Résultats!$A$99</c:f>
              <c:strCache>
                <c:ptCount val="1"/>
                <c:pt idx="0">
                  <c:v>légumes frais (y c. pomme de t.)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strRef>
              <c:f>Résultats!$B$72:$W$72</c:f>
              <c:strCache>
                <c:ptCount val="2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tendanciel</c:v>
                </c:pt>
                <c:pt idx="21">
                  <c:v>projection</c:v>
                </c:pt>
              </c:strCache>
            </c:strRef>
          </c:cat>
          <c:val>
            <c:numRef>
              <c:f>Résultats!$B$99:$W$99</c:f>
              <c:numCache>
                <c:formatCode>#,##0</c:formatCode>
                <c:ptCount val="22"/>
                <c:pt idx="0">
                  <c:v>-16161.196061520779</c:v>
                </c:pt>
                <c:pt idx="1">
                  <c:v>-14969.323907602509</c:v>
                </c:pt>
                <c:pt idx="2">
                  <c:v>-14579.38373964303</c:v>
                </c:pt>
                <c:pt idx="3">
                  <c:v>-15791.914041026765</c:v>
                </c:pt>
                <c:pt idx="4">
                  <c:v>-15614.878805911627</c:v>
                </c:pt>
                <c:pt idx="5">
                  <c:v>-16220.179137997324</c:v>
                </c:pt>
                <c:pt idx="6">
                  <c:v>-15435.691646541451</c:v>
                </c:pt>
                <c:pt idx="7">
                  <c:v>-15407.210978642317</c:v>
                </c:pt>
                <c:pt idx="8">
                  <c:v>-13950.168624429172</c:v>
                </c:pt>
                <c:pt idx="9">
                  <c:v>-14366.330303445984</c:v>
                </c:pt>
                <c:pt idx="10">
                  <c:v>-13583.650833931786</c:v>
                </c:pt>
                <c:pt idx="11">
                  <c:v>-14407.698031545659</c:v>
                </c:pt>
                <c:pt idx="12">
                  <c:v>-16759.045913376489</c:v>
                </c:pt>
                <c:pt idx="13">
                  <c:v>-16712.530658614305</c:v>
                </c:pt>
                <c:pt idx="20">
                  <c:v>-15768.506265018717</c:v>
                </c:pt>
                <c:pt idx="21">
                  <c:v>-16366.134732396567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FBC-415C-A7D4-64F0D11CC823}"/>
            </c:ext>
          </c:extLst>
        </c:ser>
        <c:ser>
          <c:idx val="6"/>
          <c:order val="6"/>
          <c:tx>
            <c:strRef>
              <c:f>Résultats!$A$100</c:f>
              <c:strCache>
                <c:ptCount val="1"/>
                <c:pt idx="0">
                  <c:v>fruits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strRef>
              <c:f>Résultats!$B$72:$W$72</c:f>
              <c:strCache>
                <c:ptCount val="2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tendanciel</c:v>
                </c:pt>
                <c:pt idx="21">
                  <c:v>projection</c:v>
                </c:pt>
              </c:strCache>
            </c:strRef>
          </c:cat>
          <c:val>
            <c:numRef>
              <c:f>Résultats!$B$100:$W$100</c:f>
              <c:numCache>
                <c:formatCode>#,##0</c:formatCode>
                <c:ptCount val="22"/>
                <c:pt idx="0">
                  <c:v>993.88105687731434</c:v>
                </c:pt>
                <c:pt idx="1">
                  <c:v>2365.6916087689901</c:v>
                </c:pt>
                <c:pt idx="2">
                  <c:v>1271.9613841772182</c:v>
                </c:pt>
                <c:pt idx="3">
                  <c:v>26.434416059951172</c:v>
                </c:pt>
                <c:pt idx="4">
                  <c:v>2337.3756370778265</c:v>
                </c:pt>
                <c:pt idx="5">
                  <c:v>1071.6947854360028</c:v>
                </c:pt>
                <c:pt idx="6">
                  <c:v>-2702.2324076210757</c:v>
                </c:pt>
                <c:pt idx="7">
                  <c:v>-469.4544025542923</c:v>
                </c:pt>
                <c:pt idx="8">
                  <c:v>-1988.5174184354476</c:v>
                </c:pt>
                <c:pt idx="9">
                  <c:v>-1191.9131626775327</c:v>
                </c:pt>
                <c:pt idx="10">
                  <c:v>-3342.1793481894688</c:v>
                </c:pt>
                <c:pt idx="11">
                  <c:v>-14262.295259427077</c:v>
                </c:pt>
                <c:pt idx="12">
                  <c:v>-1811.5941757449859</c:v>
                </c:pt>
                <c:pt idx="13">
                  <c:v>-1859.1359848891555</c:v>
                </c:pt>
                <c:pt idx="20">
                  <c:v>-5948.9478625325555</c:v>
                </c:pt>
                <c:pt idx="21">
                  <c:v>-6867.6952556591805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FBC-415C-A7D4-64F0D11CC823}"/>
            </c:ext>
          </c:extLst>
        </c:ser>
        <c:ser>
          <c:idx val="7"/>
          <c:order val="7"/>
          <c:tx>
            <c:strRef>
              <c:f>Résultats!$A$101</c:f>
              <c:strCache>
                <c:ptCount val="1"/>
                <c:pt idx="0">
                  <c:v>viandes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Résultats!$B$72:$W$72</c:f>
              <c:strCache>
                <c:ptCount val="2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tendanciel</c:v>
                </c:pt>
                <c:pt idx="21">
                  <c:v>projection</c:v>
                </c:pt>
              </c:strCache>
            </c:strRef>
          </c:cat>
          <c:val>
            <c:numRef>
              <c:f>Résultats!$B$101:$W$101</c:f>
              <c:numCache>
                <c:formatCode>#,##0</c:formatCode>
                <c:ptCount val="22"/>
                <c:pt idx="0">
                  <c:v>-251092.43298972835</c:v>
                </c:pt>
                <c:pt idx="1">
                  <c:v>-238036.88917171874</c:v>
                </c:pt>
                <c:pt idx="2">
                  <c:v>-260832.00217245641</c:v>
                </c:pt>
                <c:pt idx="3">
                  <c:v>-263698.82176383329</c:v>
                </c:pt>
                <c:pt idx="4">
                  <c:v>-276545.81513328606</c:v>
                </c:pt>
                <c:pt idx="5">
                  <c:v>-271474.44381502178</c:v>
                </c:pt>
                <c:pt idx="6">
                  <c:v>-265430.70641129755</c:v>
                </c:pt>
                <c:pt idx="7">
                  <c:v>-269370.14872667444</c:v>
                </c:pt>
                <c:pt idx="8">
                  <c:v>-289360.08057837881</c:v>
                </c:pt>
                <c:pt idx="9">
                  <c:v>-292291.26169310196</c:v>
                </c:pt>
                <c:pt idx="10">
                  <c:v>-284198.55915531772</c:v>
                </c:pt>
                <c:pt idx="11">
                  <c:v>-288574.85588957911</c:v>
                </c:pt>
                <c:pt idx="12">
                  <c:v>-303353.51145697862</c:v>
                </c:pt>
                <c:pt idx="13">
                  <c:v>-306293.10786982212</c:v>
                </c:pt>
                <c:pt idx="20">
                  <c:v>-308136.79941375559</c:v>
                </c:pt>
                <c:pt idx="21">
                  <c:v>-264952.47692308732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FBC-415C-A7D4-64F0D11CC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22313672"/>
        <c:axId val="622314984"/>
      </c:barChart>
      <c:catAx>
        <c:axId val="622313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22314984"/>
        <c:crosses val="autoZero"/>
        <c:auto val="1"/>
        <c:lblAlgn val="ctr"/>
        <c:lblOffset val="100"/>
        <c:noMultiLvlLbl val="0"/>
      </c:catAx>
      <c:valAx>
        <c:axId val="622314984"/>
        <c:scaling>
          <c:orientation val="minMax"/>
          <c:max val="5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223136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7669260640665533E-2"/>
          <c:y val="0.88320746689706175"/>
          <c:w val="0.91233073935933451"/>
          <c:h val="0.1167925331029381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accent5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19903762029747E-2"/>
          <c:y val="2.5694444444444443E-2"/>
          <c:w val="0.90301727909011376"/>
          <c:h val="0.880964566929133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'Calcul R84'!$BA$91:$BA$112</c:f>
              <c:numCache>
                <c:formatCode>General</c:formatCode>
                <c:ptCount val="22"/>
              </c:numCache>
            </c:numRef>
          </c:cat>
          <c:val>
            <c:numRef>
              <c:f>'Calcul R84'!$BF$91:$BF$112</c:f>
              <c:numCache>
                <c:formatCode>0%</c:formatCode>
                <c:ptCount val="22"/>
              </c:numCache>
            </c:numRef>
          </c:val>
          <c:extLst>
            <c:ext xmlns:c16="http://schemas.microsoft.com/office/drawing/2014/chart" uri="{C3380CC4-5D6E-409C-BE32-E72D297353CC}">
              <c16:uniqueId val="{00000000-8B47-48C5-BB11-658BC1CDEB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18383024"/>
        <c:axId val="718384336"/>
      </c:barChart>
      <c:catAx>
        <c:axId val="718383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718384336"/>
        <c:crosses val="autoZero"/>
        <c:auto val="1"/>
        <c:lblAlgn val="ctr"/>
        <c:lblOffset val="100"/>
        <c:noMultiLvlLbl val="0"/>
      </c:catAx>
      <c:valAx>
        <c:axId val="718384336"/>
        <c:scaling>
          <c:orientation val="minMax"/>
          <c:max val="1.6"/>
          <c:min val="-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718383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553344269466317"/>
          <c:y val="0"/>
          <c:w val="0.60599803149606302"/>
          <c:h val="1"/>
        </c:manualLayout>
      </c:layout>
      <c:pieChart>
        <c:varyColors val="1"/>
        <c:ser>
          <c:idx val="0"/>
          <c:order val="0"/>
          <c:tx>
            <c:strRef>
              <c:f>'Calcul Fr métro'!$J$58</c:f>
              <c:strCache>
                <c:ptCount val="1"/>
                <c:pt idx="0">
                  <c:v>SAU nationale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B66-47A0-99CB-5BC5CBD81B2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B66-47A0-99CB-5BC5CBD81B2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B66-47A0-99CB-5BC5CBD81B2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B66-47A0-99CB-5BC5CBD81B2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B66-47A0-99CB-5BC5CBD81B2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B66-47A0-99CB-5BC5CBD81B2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8B66-47A0-99CB-5BC5CBD81B2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8B66-47A0-99CB-5BC5CBD81B2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8B66-47A0-99CB-5BC5CBD81B27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8B66-47A0-99CB-5BC5CBD81B27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8B66-47A0-99CB-5BC5CBD81B27}"/>
              </c:ext>
            </c:extLst>
          </c:dPt>
          <c:cat>
            <c:strRef>
              <c:f>'Calcul Fr métro'!$I$59:$I$69</c:f>
              <c:strCache>
                <c:ptCount val="11"/>
                <c:pt idx="0">
                  <c:v>céréales</c:v>
                </c:pt>
                <c:pt idx="1">
                  <c:v>oléagineux</c:v>
                </c:pt>
                <c:pt idx="2">
                  <c:v>protéagineux</c:v>
                </c:pt>
                <c:pt idx="3">
                  <c:v>fourrages</c:v>
                </c:pt>
                <c:pt idx="4">
                  <c:v>prairie permanentes</c:v>
                </c:pt>
                <c:pt idx="5">
                  <c:v>légumes</c:v>
                </c:pt>
                <c:pt idx="6">
                  <c:v>fruits</c:v>
                </c:pt>
                <c:pt idx="7">
                  <c:v>vigne</c:v>
                </c:pt>
                <c:pt idx="8">
                  <c:v>PPAM, pépinière</c:v>
                </c:pt>
                <c:pt idx="9">
                  <c:v>jardins familiaux</c:v>
                </c:pt>
                <c:pt idx="10">
                  <c:v>autres</c:v>
                </c:pt>
              </c:strCache>
            </c:strRef>
          </c:cat>
          <c:val>
            <c:numRef>
              <c:f>'Calcul Fr métro'!$J$59:$J$69</c:f>
              <c:numCache>
                <c:formatCode>#,##0</c:formatCode>
                <c:ptCount val="11"/>
                <c:pt idx="0">
                  <c:v>9005013</c:v>
                </c:pt>
                <c:pt idx="1">
                  <c:v>2323603</c:v>
                </c:pt>
                <c:pt idx="2">
                  <c:v>256561</c:v>
                </c:pt>
                <c:pt idx="3">
                  <c:v>3861253</c:v>
                </c:pt>
                <c:pt idx="4">
                  <c:v>10439684</c:v>
                </c:pt>
                <c:pt idx="5">
                  <c:v>477423</c:v>
                </c:pt>
                <c:pt idx="6">
                  <c:v>218942</c:v>
                </c:pt>
                <c:pt idx="7">
                  <c:v>795347</c:v>
                </c:pt>
                <c:pt idx="8">
                  <c:v>86222</c:v>
                </c:pt>
                <c:pt idx="9">
                  <c:v>116260</c:v>
                </c:pt>
                <c:pt idx="10">
                  <c:v>1073915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B66-47A0-99CB-5BC5CBD81B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0.25772856517935255"/>
          <c:w val="0.32296391076115488"/>
          <c:h val="0.73958880139982508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3175" cap="flat" cmpd="sng" algn="ctr">
      <a:solidFill>
        <a:schemeClr val="accent1">
          <a:lumMod val="7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5047265966754154"/>
          <c:y val="0"/>
          <c:w val="0.62269466316710409"/>
          <c:h val="1"/>
        </c:manualLayout>
      </c:layout>
      <c:pieChart>
        <c:varyColors val="1"/>
        <c:ser>
          <c:idx val="0"/>
          <c:order val="0"/>
          <c:tx>
            <c:strRef>
              <c:f>'Calcul Fr métro'!$J$75</c:f>
              <c:strCache>
                <c:ptCount val="1"/>
                <c:pt idx="0">
                  <c:v>Surfaces régionales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74A-4AFF-BB1F-62D9828315A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74A-4AFF-BB1F-62D9828315A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74A-4AFF-BB1F-62D9828315A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74A-4AFF-BB1F-62D9828315A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74A-4AFF-BB1F-62D9828315A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74A-4AFF-BB1F-62D9828315AD}"/>
              </c:ext>
            </c:extLst>
          </c:dPt>
          <c:cat>
            <c:strRef>
              <c:f>'Calcul Fr métro'!$I$76:$I$81</c:f>
              <c:strCache>
                <c:ptCount val="6"/>
                <c:pt idx="0">
                  <c:v>SAU des exploitants</c:v>
                </c:pt>
                <c:pt idx="1">
                  <c:v>SAU hors exploitants</c:v>
                </c:pt>
                <c:pt idx="2">
                  <c:v>forêts</c:v>
                </c:pt>
                <c:pt idx="3">
                  <c:v>landes</c:v>
                </c:pt>
                <c:pt idx="4">
                  <c:v>sols artificialisés</c:v>
                </c:pt>
                <c:pt idx="5">
                  <c:v>autres</c:v>
                </c:pt>
              </c:strCache>
            </c:strRef>
          </c:cat>
          <c:val>
            <c:numRef>
              <c:f>'Calcul Fr métro'!$J$76:$J$81</c:f>
              <c:numCache>
                <c:formatCode>#,##0</c:formatCode>
                <c:ptCount val="6"/>
                <c:pt idx="0">
                  <c:v>26875163</c:v>
                </c:pt>
                <c:pt idx="1">
                  <c:v>1779060</c:v>
                </c:pt>
                <c:pt idx="2">
                  <c:v>26303984</c:v>
                </c:pt>
                <c:pt idx="3">
                  <c:v>1628112</c:v>
                </c:pt>
                <c:pt idx="4">
                  <c:v>5161695</c:v>
                </c:pt>
                <c:pt idx="5">
                  <c:v>2085417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74A-4AFF-BB1F-62D9828315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8779527559056017E-4"/>
          <c:y val="0.40161927675707204"/>
          <c:w val="0.31211329833770773"/>
          <c:h val="0.5983807232429280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3175" cap="flat" cmpd="sng" algn="ctr">
      <a:solidFill>
        <a:schemeClr val="accent1">
          <a:lumMod val="7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r>
              <a:rPr lang="fr-FR"/>
              <a:t>Légumes secs</a:t>
            </a:r>
          </a:p>
        </c:rich>
      </c:tx>
      <c:layout>
        <c:manualLayout>
          <c:xMode val="edge"/>
          <c:yMode val="edge"/>
          <c:x val="0.4462500000000000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8.4226815398075236E-2"/>
          <c:y val="2.5694444444444443E-2"/>
          <c:w val="0.91577318460192481"/>
          <c:h val="0.88804060950714492"/>
        </c:manualLayout>
      </c:layout>
      <c:lineChart>
        <c:grouping val="standard"/>
        <c:varyColors val="0"/>
        <c:ser>
          <c:idx val="0"/>
          <c:order val="0"/>
          <c:tx>
            <c:strRef>
              <c:f>'Hypothèses conso'!$B$86</c:f>
              <c:strCache>
                <c:ptCount val="1"/>
                <c:pt idx="0">
                  <c:v>constaté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'Hypothèses conso'!$C$79:$W$79</c:f>
              <c:numCache>
                <c:formatCode>0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'Hypothèses conso'!$C$86:$W$86</c:f>
              <c:numCache>
                <c:formatCode>0.0</c:formatCode>
                <c:ptCount val="21"/>
                <c:pt idx="0">
                  <c:v>1.7</c:v>
                </c:pt>
                <c:pt idx="1">
                  <c:v>1.7</c:v>
                </c:pt>
                <c:pt idx="2">
                  <c:v>1.7</c:v>
                </c:pt>
                <c:pt idx="3">
                  <c:v>1.7</c:v>
                </c:pt>
                <c:pt idx="4">
                  <c:v>1.8</c:v>
                </c:pt>
                <c:pt idx="5">
                  <c:v>1.3</c:v>
                </c:pt>
                <c:pt idx="6">
                  <c:v>1.6</c:v>
                </c:pt>
                <c:pt idx="7">
                  <c:v>2</c:v>
                </c:pt>
                <c:pt idx="8">
                  <c:v>2.2999999999999998</c:v>
                </c:pt>
                <c:pt idx="9">
                  <c:v>2.5</c:v>
                </c:pt>
                <c:pt idx="10">
                  <c:v>2.5</c:v>
                </c:pt>
                <c:pt idx="11">
                  <c:v>2.1</c:v>
                </c:pt>
                <c:pt idx="12">
                  <c:v>2.6</c:v>
                </c:pt>
                <c:pt idx="13">
                  <c:v>2.65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24-4054-8072-97464431F5A8}"/>
            </c:ext>
          </c:extLst>
        </c:ser>
        <c:ser>
          <c:idx val="1"/>
          <c:order val="1"/>
          <c:tx>
            <c:strRef>
              <c:f>'Hypothèses conso'!$B$87</c:f>
              <c:strCache>
                <c:ptCount val="1"/>
                <c:pt idx="0">
                  <c:v>tendanciel 2030</c:v>
                </c:pt>
              </c:strCache>
            </c:strRef>
          </c:tx>
          <c:spPr>
            <a:ln w="19050" cap="rnd">
              <a:solidFill>
                <a:schemeClr val="accent5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'Hypothèses conso'!$C$79:$W$79</c:f>
              <c:numCache>
                <c:formatCode>0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'Hypothèses conso'!$C$87:$W$87</c:f>
              <c:numCache>
                <c:formatCode>0.0</c:formatCode>
                <c:ptCount val="21"/>
                <c:pt idx="13">
                  <c:v>2.65</c:v>
                </c:pt>
                <c:pt idx="14">
                  <c:v>2.6999999999999997</c:v>
                </c:pt>
                <c:pt idx="15">
                  <c:v>2.75</c:v>
                </c:pt>
                <c:pt idx="16">
                  <c:v>2.8</c:v>
                </c:pt>
                <c:pt idx="17">
                  <c:v>2.85</c:v>
                </c:pt>
                <c:pt idx="18">
                  <c:v>2.9</c:v>
                </c:pt>
                <c:pt idx="19">
                  <c:v>2.95</c:v>
                </c:pt>
                <c:pt idx="20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24-4054-8072-97464431F5A8}"/>
            </c:ext>
          </c:extLst>
        </c:ser>
        <c:ser>
          <c:idx val="2"/>
          <c:order val="2"/>
          <c:tx>
            <c:strRef>
              <c:f>'Hypothèses conso'!$B$88</c:f>
              <c:strCache>
                <c:ptCount val="1"/>
                <c:pt idx="0">
                  <c:v>projection 2030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'Hypothèses conso'!$C$79:$W$79</c:f>
              <c:numCache>
                <c:formatCode>0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'Hypothèses conso'!$C$88:$W$88</c:f>
              <c:numCache>
                <c:formatCode>0.0</c:formatCode>
                <c:ptCount val="21"/>
                <c:pt idx="13">
                  <c:v>2.65</c:v>
                </c:pt>
                <c:pt idx="14">
                  <c:v>2.7428571428571429</c:v>
                </c:pt>
                <c:pt idx="15">
                  <c:v>2.8357142857142859</c:v>
                </c:pt>
                <c:pt idx="16">
                  <c:v>2.9285714285714288</c:v>
                </c:pt>
                <c:pt idx="17">
                  <c:v>3.0214285714285714</c:v>
                </c:pt>
                <c:pt idx="18">
                  <c:v>3.1142857142857143</c:v>
                </c:pt>
                <c:pt idx="19">
                  <c:v>3.2071428571428573</c:v>
                </c:pt>
                <c:pt idx="20">
                  <c:v>3.3000000000000003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24-4054-8072-97464431F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0097200"/>
        <c:axId val="620095560"/>
      </c:lineChart>
      <c:catAx>
        <c:axId val="6200972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620095560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620095560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620097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9334425807016308"/>
          <c:y val="0.68180980627365506"/>
          <c:w val="0.48564461099380951"/>
          <c:h val="0.2417326395900822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3175" cap="flat" cmpd="sng" algn="ctr">
      <a:solidFill>
        <a:schemeClr val="accent5"/>
      </a:solidFill>
      <a:round/>
    </a:ln>
    <a:effectLst/>
  </c:spPr>
  <c:txPr>
    <a:bodyPr/>
    <a:lstStyle/>
    <a:p>
      <a:pPr>
        <a:defRPr sz="800" baseline="0"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r>
              <a:rPr lang="fr-FR"/>
              <a:t>Légumes frais hors pomme de terre</a:t>
            </a:r>
          </a:p>
        </c:rich>
      </c:tx>
      <c:layout>
        <c:manualLayout>
          <c:xMode val="edge"/>
          <c:yMode val="edge"/>
          <c:x val="0.3490277777777778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8.4226815398075236E-2"/>
          <c:y val="2.5694444444444443E-2"/>
          <c:w val="0.91577318460192481"/>
          <c:h val="0.88804060950714492"/>
        </c:manualLayout>
      </c:layout>
      <c:lineChart>
        <c:grouping val="standard"/>
        <c:varyColors val="0"/>
        <c:ser>
          <c:idx val="0"/>
          <c:order val="0"/>
          <c:tx>
            <c:strRef>
              <c:f>'Hypothèses conso'!$B$89</c:f>
              <c:strCache>
                <c:ptCount val="1"/>
                <c:pt idx="0">
                  <c:v>constaté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'Hypothèses conso'!$C$79:$W$79</c:f>
              <c:numCache>
                <c:formatCode>0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'Hypothèses conso'!$C$89:$W$89</c:f>
              <c:numCache>
                <c:formatCode>0.0</c:formatCode>
                <c:ptCount val="21"/>
                <c:pt idx="0">
                  <c:v>55.253455053581817</c:v>
                </c:pt>
                <c:pt idx="1">
                  <c:v>56.366963528849624</c:v>
                </c:pt>
                <c:pt idx="2">
                  <c:v>53.909609119835032</c:v>
                </c:pt>
                <c:pt idx="3">
                  <c:v>54.110672037437986</c:v>
                </c:pt>
                <c:pt idx="4">
                  <c:v>53.668310580824709</c:v>
                </c:pt>
                <c:pt idx="5">
                  <c:v>53.391550196536372</c:v>
                </c:pt>
                <c:pt idx="6">
                  <c:v>55.008045889862494</c:v>
                </c:pt>
                <c:pt idx="7">
                  <c:v>54.361764977571703</c:v>
                </c:pt>
                <c:pt idx="8">
                  <c:v>52.308644287523308</c:v>
                </c:pt>
                <c:pt idx="9">
                  <c:v>51.924633603929465</c:v>
                </c:pt>
                <c:pt idx="10">
                  <c:v>55.059588108036458</c:v>
                </c:pt>
                <c:pt idx="11">
                  <c:v>56.255956247329507</c:v>
                </c:pt>
                <c:pt idx="12">
                  <c:v>53.258591197801543</c:v>
                </c:pt>
                <c:pt idx="13">
                  <c:v>53.251267298076336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70-4D7B-B381-B34FDEF31898}"/>
            </c:ext>
          </c:extLst>
        </c:ser>
        <c:ser>
          <c:idx val="1"/>
          <c:order val="1"/>
          <c:tx>
            <c:strRef>
              <c:f>'Hypothèses conso'!$B$90</c:f>
              <c:strCache>
                <c:ptCount val="1"/>
                <c:pt idx="0">
                  <c:v>tendanciel 2030</c:v>
                </c:pt>
              </c:strCache>
            </c:strRef>
          </c:tx>
          <c:spPr>
            <a:ln w="19050" cap="rnd">
              <a:solidFill>
                <a:schemeClr val="accent5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'Hypothèses conso'!$C$79:$W$79</c:f>
              <c:numCache>
                <c:formatCode>0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'Hypothèses conso'!$C$90:$W$90</c:f>
              <c:numCache>
                <c:formatCode>0.0</c:formatCode>
                <c:ptCount val="21"/>
                <c:pt idx="13">
                  <c:v>53.251267298076336</c:v>
                </c:pt>
                <c:pt idx="14">
                  <c:v>53.243943398351142</c:v>
                </c:pt>
                <c:pt idx="15">
                  <c:v>53.236619498625956</c:v>
                </c:pt>
                <c:pt idx="16">
                  <c:v>53.229295598900762</c:v>
                </c:pt>
                <c:pt idx="17">
                  <c:v>53.221971699175569</c:v>
                </c:pt>
                <c:pt idx="18">
                  <c:v>53.214647799450375</c:v>
                </c:pt>
                <c:pt idx="19">
                  <c:v>53.207323899725189</c:v>
                </c:pt>
                <c:pt idx="20">
                  <c:v>53.199999999999996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70-4D7B-B381-B34FDEF31898}"/>
            </c:ext>
          </c:extLst>
        </c:ser>
        <c:ser>
          <c:idx val="2"/>
          <c:order val="2"/>
          <c:tx>
            <c:strRef>
              <c:f>'Hypothèses conso'!$B$91</c:f>
              <c:strCache>
                <c:ptCount val="1"/>
                <c:pt idx="0">
                  <c:v>projection 2030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'Hypothèses conso'!$C$79:$W$79</c:f>
              <c:numCache>
                <c:formatCode>0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'Hypothèses conso'!$C$91:$W$91</c:f>
              <c:numCache>
                <c:formatCode>0.0</c:formatCode>
                <c:ptCount val="21"/>
                <c:pt idx="13">
                  <c:v>53.251267298076336</c:v>
                </c:pt>
                <c:pt idx="14">
                  <c:v>53.623943398351145</c:v>
                </c:pt>
                <c:pt idx="15">
                  <c:v>53.996619498625954</c:v>
                </c:pt>
                <c:pt idx="16">
                  <c:v>54.369295598900763</c:v>
                </c:pt>
                <c:pt idx="17">
                  <c:v>54.741971699175572</c:v>
                </c:pt>
                <c:pt idx="18">
                  <c:v>55.114647799450381</c:v>
                </c:pt>
                <c:pt idx="19">
                  <c:v>55.48732389972519</c:v>
                </c:pt>
                <c:pt idx="20">
                  <c:v>55.86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70-4D7B-B381-B34FDEF31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0097200"/>
        <c:axId val="620095560"/>
      </c:lineChart>
      <c:catAx>
        <c:axId val="6200972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620095560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620095560"/>
        <c:scaling>
          <c:orientation val="minMax"/>
          <c:max val="60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620097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045538057742785"/>
          <c:y val="0.79408863373464589"/>
          <c:w val="0.83853368328958877"/>
          <c:h val="0.129453812129091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3175" cap="flat" cmpd="sng" algn="ctr">
      <a:solidFill>
        <a:schemeClr val="accent5"/>
      </a:solidFill>
      <a:round/>
    </a:ln>
    <a:effectLst/>
  </c:spPr>
  <c:txPr>
    <a:bodyPr/>
    <a:lstStyle/>
    <a:p>
      <a:pPr>
        <a:defRPr sz="800" baseline="0"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r>
              <a:rPr lang="fr-FR"/>
              <a:t>Pomme de terre</a:t>
            </a:r>
          </a:p>
        </c:rich>
      </c:tx>
      <c:layout>
        <c:manualLayout>
          <c:xMode val="edge"/>
          <c:yMode val="edge"/>
          <c:x val="0.4462500000000000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8.4226815398075236E-2"/>
          <c:y val="2.5694444444444443E-2"/>
          <c:w val="0.91577318460192481"/>
          <c:h val="0.88804060950714492"/>
        </c:manualLayout>
      </c:layout>
      <c:lineChart>
        <c:grouping val="standard"/>
        <c:varyColors val="0"/>
        <c:ser>
          <c:idx val="0"/>
          <c:order val="0"/>
          <c:tx>
            <c:strRef>
              <c:f>'Hypothèses conso'!$B$92</c:f>
              <c:strCache>
                <c:ptCount val="1"/>
                <c:pt idx="0">
                  <c:v>constaté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'Hypothèses conso'!$C$79:$W$79</c:f>
              <c:numCache>
                <c:formatCode>0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'Hypothèses conso'!$C$92:$W$92</c:f>
              <c:numCache>
                <c:formatCode>0.0</c:formatCode>
                <c:ptCount val="21"/>
                <c:pt idx="0">
                  <c:v>49.3</c:v>
                </c:pt>
                <c:pt idx="1">
                  <c:v>47.3</c:v>
                </c:pt>
                <c:pt idx="2">
                  <c:v>47.6</c:v>
                </c:pt>
                <c:pt idx="3">
                  <c:v>47.6</c:v>
                </c:pt>
                <c:pt idx="4">
                  <c:v>47.6</c:v>
                </c:pt>
                <c:pt idx="5">
                  <c:v>47.6</c:v>
                </c:pt>
                <c:pt idx="6">
                  <c:v>47.6</c:v>
                </c:pt>
                <c:pt idx="7">
                  <c:v>47.6</c:v>
                </c:pt>
                <c:pt idx="8">
                  <c:v>47.6</c:v>
                </c:pt>
                <c:pt idx="9">
                  <c:v>47.6</c:v>
                </c:pt>
                <c:pt idx="10">
                  <c:v>47.6</c:v>
                </c:pt>
                <c:pt idx="11">
                  <c:v>47.6</c:v>
                </c:pt>
                <c:pt idx="12">
                  <c:v>47.5</c:v>
                </c:pt>
                <c:pt idx="13">
                  <c:v>47.5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66-4258-92AE-811B4B4CFB78}"/>
            </c:ext>
          </c:extLst>
        </c:ser>
        <c:ser>
          <c:idx val="1"/>
          <c:order val="1"/>
          <c:tx>
            <c:strRef>
              <c:f>'Hypothèses conso'!$B$93</c:f>
              <c:strCache>
                <c:ptCount val="1"/>
                <c:pt idx="0">
                  <c:v>tendanciel 2030</c:v>
                </c:pt>
              </c:strCache>
            </c:strRef>
          </c:tx>
          <c:spPr>
            <a:ln w="19050" cap="rnd">
              <a:solidFill>
                <a:schemeClr val="accent5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'Hypothèses conso'!$C$79:$W$79</c:f>
              <c:numCache>
                <c:formatCode>0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'Hypothèses conso'!$C$93:$W$93</c:f>
              <c:numCache>
                <c:formatCode>0.0</c:formatCode>
                <c:ptCount val="21"/>
                <c:pt idx="13">
                  <c:v>47.5</c:v>
                </c:pt>
                <c:pt idx="14">
                  <c:v>47.5</c:v>
                </c:pt>
                <c:pt idx="15">
                  <c:v>47.5</c:v>
                </c:pt>
                <c:pt idx="16">
                  <c:v>47.5</c:v>
                </c:pt>
                <c:pt idx="17">
                  <c:v>47.5</c:v>
                </c:pt>
                <c:pt idx="18">
                  <c:v>47.5</c:v>
                </c:pt>
                <c:pt idx="19">
                  <c:v>47.5</c:v>
                </c:pt>
                <c:pt idx="20">
                  <c:v>47.5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66-4258-92AE-811B4B4CFB78}"/>
            </c:ext>
          </c:extLst>
        </c:ser>
        <c:ser>
          <c:idx val="2"/>
          <c:order val="2"/>
          <c:tx>
            <c:strRef>
              <c:f>'Hypothèses conso'!$B$94</c:f>
              <c:strCache>
                <c:ptCount val="1"/>
                <c:pt idx="0">
                  <c:v>projection 2030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'Hypothèses conso'!$C$79:$W$79</c:f>
              <c:numCache>
                <c:formatCode>0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'Hypothèses conso'!$C$94:$W$94</c:f>
              <c:numCache>
                <c:formatCode>0.0</c:formatCode>
                <c:ptCount val="21"/>
                <c:pt idx="13">
                  <c:v>47.5</c:v>
                </c:pt>
                <c:pt idx="14">
                  <c:v>47.5</c:v>
                </c:pt>
                <c:pt idx="15">
                  <c:v>47.5</c:v>
                </c:pt>
                <c:pt idx="16">
                  <c:v>47.5</c:v>
                </c:pt>
                <c:pt idx="17">
                  <c:v>47.5</c:v>
                </c:pt>
                <c:pt idx="18">
                  <c:v>47.5</c:v>
                </c:pt>
                <c:pt idx="19">
                  <c:v>47.5</c:v>
                </c:pt>
                <c:pt idx="20">
                  <c:v>47.5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66-4258-92AE-811B4B4CFB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0097200"/>
        <c:axId val="620095560"/>
      </c:lineChart>
      <c:catAx>
        <c:axId val="6200972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620095560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620095560"/>
        <c:scaling>
          <c:orientation val="minMax"/>
          <c:max val="5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620097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045538057742785"/>
          <c:y val="0.79408863373464589"/>
          <c:w val="0.83853368328958877"/>
          <c:h val="0.129453812129091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3175" cap="flat" cmpd="sng" algn="ctr">
      <a:solidFill>
        <a:schemeClr val="accent5"/>
      </a:solidFill>
      <a:round/>
    </a:ln>
    <a:effectLst/>
  </c:spPr>
  <c:txPr>
    <a:bodyPr/>
    <a:lstStyle/>
    <a:p>
      <a:pPr>
        <a:defRPr sz="800" baseline="0"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r>
              <a:rPr lang="fr-FR"/>
              <a:t>Fruits</a:t>
            </a:r>
          </a:p>
        </c:rich>
      </c:tx>
      <c:layout>
        <c:manualLayout>
          <c:xMode val="edge"/>
          <c:yMode val="edge"/>
          <c:x val="0.4462500000000000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8.4226815398075236E-2"/>
          <c:y val="2.5694444444444443E-2"/>
          <c:w val="0.91577318460192481"/>
          <c:h val="0.88804060950714492"/>
        </c:manualLayout>
      </c:layout>
      <c:lineChart>
        <c:grouping val="standard"/>
        <c:varyColors val="0"/>
        <c:ser>
          <c:idx val="0"/>
          <c:order val="0"/>
          <c:tx>
            <c:strRef>
              <c:f>'Hypothèses conso'!$B$95</c:f>
              <c:strCache>
                <c:ptCount val="1"/>
                <c:pt idx="0">
                  <c:v>constaté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'Hypothèses conso'!$C$79:$W$79</c:f>
              <c:numCache>
                <c:formatCode>0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'Hypothèses conso'!$C$95:$W$95</c:f>
              <c:numCache>
                <c:formatCode>0.0</c:formatCode>
                <c:ptCount val="21"/>
                <c:pt idx="0">
                  <c:v>34.698739756172344</c:v>
                </c:pt>
                <c:pt idx="1">
                  <c:v>33.657770656839929</c:v>
                </c:pt>
                <c:pt idx="2">
                  <c:v>32.568862976474158</c:v>
                </c:pt>
                <c:pt idx="3">
                  <c:v>31.998593610633577</c:v>
                </c:pt>
                <c:pt idx="4">
                  <c:v>31.642332754075966</c:v>
                </c:pt>
                <c:pt idx="5">
                  <c:v>33.511658328592723</c:v>
                </c:pt>
                <c:pt idx="6">
                  <c:v>35.367612099820327</c:v>
                </c:pt>
                <c:pt idx="7">
                  <c:v>33.740201043538129</c:v>
                </c:pt>
                <c:pt idx="8">
                  <c:v>33.529978713385781</c:v>
                </c:pt>
                <c:pt idx="9">
                  <c:v>32.631108518321525</c:v>
                </c:pt>
                <c:pt idx="10">
                  <c:v>32.064557055542657</c:v>
                </c:pt>
                <c:pt idx="11">
                  <c:v>29.20570196298728</c:v>
                </c:pt>
                <c:pt idx="12">
                  <c:v>31.207230795198022</c:v>
                </c:pt>
                <c:pt idx="13">
                  <c:v>31.28132694579827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84-4B50-89D4-AE7880F433C8}"/>
            </c:ext>
          </c:extLst>
        </c:ser>
        <c:ser>
          <c:idx val="1"/>
          <c:order val="1"/>
          <c:tx>
            <c:strRef>
              <c:f>'Hypothèses conso'!$B$96</c:f>
              <c:strCache>
                <c:ptCount val="1"/>
                <c:pt idx="0">
                  <c:v>tendanciel 2030</c:v>
                </c:pt>
              </c:strCache>
            </c:strRef>
          </c:tx>
          <c:spPr>
            <a:ln w="19050" cap="rnd">
              <a:solidFill>
                <a:schemeClr val="accent5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'Hypothèses conso'!$C$79:$W$79</c:f>
              <c:numCache>
                <c:formatCode>0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'Hypothèses conso'!$C$96:$W$96</c:f>
              <c:numCache>
                <c:formatCode>0.0</c:formatCode>
                <c:ptCount val="21"/>
                <c:pt idx="13">
                  <c:v>31.28132694579827</c:v>
                </c:pt>
                <c:pt idx="14">
                  <c:v>31.355423096398518</c:v>
                </c:pt>
                <c:pt idx="15">
                  <c:v>31.429519246998765</c:v>
                </c:pt>
                <c:pt idx="16">
                  <c:v>31.503615397599013</c:v>
                </c:pt>
                <c:pt idx="17">
                  <c:v>31.577711548199257</c:v>
                </c:pt>
                <c:pt idx="18">
                  <c:v>31.651807698799505</c:v>
                </c:pt>
                <c:pt idx="19">
                  <c:v>31.725903849399753</c:v>
                </c:pt>
                <c:pt idx="20">
                  <c:v>31.8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84-4B50-89D4-AE7880F433C8}"/>
            </c:ext>
          </c:extLst>
        </c:ser>
        <c:ser>
          <c:idx val="2"/>
          <c:order val="2"/>
          <c:tx>
            <c:strRef>
              <c:f>'Hypothèses conso'!$B$97</c:f>
              <c:strCache>
                <c:ptCount val="1"/>
                <c:pt idx="0">
                  <c:v>projection 2030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'Hypothèses conso'!$C$79:$W$79</c:f>
              <c:numCache>
                <c:formatCode>0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'Hypothèses conso'!$C$97:$W$97</c:f>
              <c:numCache>
                <c:formatCode>0.0</c:formatCode>
                <c:ptCount val="21"/>
                <c:pt idx="13">
                  <c:v>31.28132694579827</c:v>
                </c:pt>
                <c:pt idx="14">
                  <c:v>31.582565953541373</c:v>
                </c:pt>
                <c:pt idx="15">
                  <c:v>31.883804961284479</c:v>
                </c:pt>
                <c:pt idx="16">
                  <c:v>32.185043969027582</c:v>
                </c:pt>
                <c:pt idx="17">
                  <c:v>32.486282976770688</c:v>
                </c:pt>
                <c:pt idx="18">
                  <c:v>32.787521984513795</c:v>
                </c:pt>
                <c:pt idx="19">
                  <c:v>33.088760992256894</c:v>
                </c:pt>
                <c:pt idx="20">
                  <c:v>33.39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84-4B50-89D4-AE7880F433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0097200"/>
        <c:axId val="620095560"/>
      </c:lineChart>
      <c:catAx>
        <c:axId val="6200972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620095560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620095560"/>
        <c:scaling>
          <c:orientation val="minMax"/>
          <c:min val="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620097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045538057742785"/>
          <c:y val="0.7645416834371358"/>
          <c:w val="0.83853368328958877"/>
          <c:h val="0.1590007980028988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3175" cap="flat" cmpd="sng" algn="ctr">
      <a:solidFill>
        <a:schemeClr val="accent5"/>
      </a:solidFill>
      <a:round/>
    </a:ln>
    <a:effectLst/>
  </c:spPr>
  <c:txPr>
    <a:bodyPr/>
    <a:lstStyle/>
    <a:p>
      <a:pPr>
        <a:defRPr sz="800" baseline="0"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r>
              <a:rPr lang="fr-FR"/>
              <a:t>Viandes rouges (bovin et ovin)</a:t>
            </a:r>
          </a:p>
        </c:rich>
      </c:tx>
      <c:layout>
        <c:manualLayout>
          <c:xMode val="edge"/>
          <c:yMode val="edge"/>
          <c:x val="0.3462500000000000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8.4226815398075236E-2"/>
          <c:y val="2.5694444444444443E-2"/>
          <c:w val="0.91577318460192481"/>
          <c:h val="0.88804060950714492"/>
        </c:manualLayout>
      </c:layout>
      <c:lineChart>
        <c:grouping val="standard"/>
        <c:varyColors val="0"/>
        <c:ser>
          <c:idx val="0"/>
          <c:order val="0"/>
          <c:tx>
            <c:strRef>
              <c:f>'Hypothèses conso'!$B$98</c:f>
              <c:strCache>
                <c:ptCount val="1"/>
                <c:pt idx="0">
                  <c:v>constaté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'Hypothèses conso'!$C$79:$W$79</c:f>
              <c:numCache>
                <c:formatCode>0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'Hypothèses conso'!$C$98:$W$98</c:f>
              <c:numCache>
                <c:formatCode>0.0</c:formatCode>
                <c:ptCount val="21"/>
                <c:pt idx="0">
                  <c:v>28.367252011303446</c:v>
                </c:pt>
                <c:pt idx="1">
                  <c:v>27.763055029658545</c:v>
                </c:pt>
                <c:pt idx="2">
                  <c:v>27.207872640787983</c:v>
                </c:pt>
                <c:pt idx="3">
                  <c:v>26.277291710420187</c:v>
                </c:pt>
                <c:pt idx="4">
                  <c:v>26.595251641239237</c:v>
                </c:pt>
                <c:pt idx="5">
                  <c:v>26.076760794694021</c:v>
                </c:pt>
                <c:pt idx="6">
                  <c:v>25.786972867984524</c:v>
                </c:pt>
                <c:pt idx="7">
                  <c:v>25.340054153569824</c:v>
                </c:pt>
                <c:pt idx="8">
                  <c:v>25.8</c:v>
                </c:pt>
                <c:pt idx="9">
                  <c:v>25.5</c:v>
                </c:pt>
                <c:pt idx="10">
                  <c:v>24.5</c:v>
                </c:pt>
                <c:pt idx="11">
                  <c:v>24.47</c:v>
                </c:pt>
                <c:pt idx="12">
                  <c:v>24.3</c:v>
                </c:pt>
                <c:pt idx="13">
                  <c:v>23.5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4D-4BA7-A609-3EDFC2D72933}"/>
            </c:ext>
          </c:extLst>
        </c:ser>
        <c:ser>
          <c:idx val="1"/>
          <c:order val="1"/>
          <c:tx>
            <c:strRef>
              <c:f>'Hypothèses conso'!$B$99</c:f>
              <c:strCache>
                <c:ptCount val="1"/>
                <c:pt idx="0">
                  <c:v>tendanciel 2030</c:v>
                </c:pt>
              </c:strCache>
            </c:strRef>
          </c:tx>
          <c:spPr>
            <a:ln w="19050" cap="rnd">
              <a:solidFill>
                <a:schemeClr val="accent5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'Hypothèses conso'!$C$79:$W$79</c:f>
              <c:numCache>
                <c:formatCode>0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'Hypothèses conso'!$C$99:$W$99</c:f>
              <c:numCache>
                <c:formatCode>0.0</c:formatCode>
                <c:ptCount val="21"/>
                <c:pt idx="13">
                  <c:v>23.5</c:v>
                </c:pt>
                <c:pt idx="14">
                  <c:v>23.285714285714285</c:v>
                </c:pt>
                <c:pt idx="15">
                  <c:v>23.071428571428573</c:v>
                </c:pt>
                <c:pt idx="16">
                  <c:v>22.857142857142858</c:v>
                </c:pt>
                <c:pt idx="17">
                  <c:v>22.642857142857142</c:v>
                </c:pt>
                <c:pt idx="18">
                  <c:v>22.428571428571427</c:v>
                </c:pt>
                <c:pt idx="19">
                  <c:v>22.214285714285715</c:v>
                </c:pt>
                <c:pt idx="20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4D-4BA7-A609-3EDFC2D72933}"/>
            </c:ext>
          </c:extLst>
        </c:ser>
        <c:ser>
          <c:idx val="2"/>
          <c:order val="2"/>
          <c:tx>
            <c:strRef>
              <c:f>'Hypothèses conso'!$B$100</c:f>
              <c:strCache>
                <c:ptCount val="1"/>
                <c:pt idx="0">
                  <c:v>projection 2030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'Hypothèses conso'!$C$79:$W$79</c:f>
              <c:numCache>
                <c:formatCode>0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'Hypothèses conso'!$C$100:$W$100</c:f>
              <c:numCache>
                <c:formatCode>0.0</c:formatCode>
                <c:ptCount val="21"/>
                <c:pt idx="13">
                  <c:v>23.5</c:v>
                </c:pt>
                <c:pt idx="14">
                  <c:v>22.971428571428572</c:v>
                </c:pt>
                <c:pt idx="15">
                  <c:v>22.442857142857143</c:v>
                </c:pt>
                <c:pt idx="16">
                  <c:v>21.914285714285715</c:v>
                </c:pt>
                <c:pt idx="17">
                  <c:v>21.385714285714286</c:v>
                </c:pt>
                <c:pt idx="18">
                  <c:v>20.857142857142858</c:v>
                </c:pt>
                <c:pt idx="19">
                  <c:v>20.328571428571429</c:v>
                </c:pt>
                <c:pt idx="20">
                  <c:v>19.8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4D-4BA7-A609-3EDFC2D729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0097200"/>
        <c:axId val="620095560"/>
      </c:lineChart>
      <c:catAx>
        <c:axId val="6200972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620095560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620095560"/>
        <c:scaling>
          <c:orientation val="minMax"/>
          <c:min val="1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620097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045538057742785"/>
          <c:y val="0.7704510926590713"/>
          <c:w val="0.83853368328958877"/>
          <c:h val="0.153091388780963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3175" cap="flat" cmpd="sng" algn="ctr">
      <a:solidFill>
        <a:schemeClr val="accent5"/>
      </a:solidFill>
      <a:round/>
    </a:ln>
    <a:effectLst/>
  </c:spPr>
  <c:txPr>
    <a:bodyPr/>
    <a:lstStyle/>
    <a:p>
      <a:pPr>
        <a:defRPr sz="800" baseline="0"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r>
              <a:rPr lang="fr-FR"/>
              <a:t>Viandes blanches (porc et volaille)</a:t>
            </a:r>
          </a:p>
        </c:rich>
      </c:tx>
      <c:layout>
        <c:manualLayout>
          <c:xMode val="edge"/>
          <c:yMode val="edge"/>
          <c:x val="0.3462500000000000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8.4226815398075236E-2"/>
          <c:y val="2.5694444444444443E-2"/>
          <c:w val="0.91577318460192481"/>
          <c:h val="0.88804060950714492"/>
        </c:manualLayout>
      </c:layout>
      <c:lineChart>
        <c:grouping val="standard"/>
        <c:varyColors val="0"/>
        <c:ser>
          <c:idx val="0"/>
          <c:order val="0"/>
          <c:tx>
            <c:strRef>
              <c:f>'Hypothèses conso'!$B$101</c:f>
              <c:strCache>
                <c:ptCount val="1"/>
                <c:pt idx="0">
                  <c:v>constaté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'Hypothèses conso'!$C$79:$W$79</c:f>
              <c:numCache>
                <c:formatCode>0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'Hypothèses conso'!$C$101:$W$101</c:f>
              <c:numCache>
                <c:formatCode>0.0</c:formatCode>
                <c:ptCount val="21"/>
                <c:pt idx="0">
                  <c:v>56.91470070569342</c:v>
                </c:pt>
                <c:pt idx="1">
                  <c:v>55.254777081286505</c:v>
                </c:pt>
                <c:pt idx="2">
                  <c:v>56.108661459818968</c:v>
                </c:pt>
                <c:pt idx="3">
                  <c:v>56.084892465263493</c:v>
                </c:pt>
                <c:pt idx="4">
                  <c:v>57.393620278570054</c:v>
                </c:pt>
                <c:pt idx="5">
                  <c:v>58.695468484456534</c:v>
                </c:pt>
                <c:pt idx="6">
                  <c:v>58.544775249722505</c:v>
                </c:pt>
                <c:pt idx="7">
                  <c:v>58.880482831911401</c:v>
                </c:pt>
                <c:pt idx="8">
                  <c:v>60.908807690008665</c:v>
                </c:pt>
                <c:pt idx="9">
                  <c:v>60.3</c:v>
                </c:pt>
                <c:pt idx="10">
                  <c:v>60.099999999999994</c:v>
                </c:pt>
                <c:pt idx="11">
                  <c:v>60</c:v>
                </c:pt>
                <c:pt idx="12">
                  <c:v>60</c:v>
                </c:pt>
                <c:pt idx="13">
                  <c:v>59.6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1E-41F2-897A-639D23767CB1}"/>
            </c:ext>
          </c:extLst>
        </c:ser>
        <c:ser>
          <c:idx val="1"/>
          <c:order val="1"/>
          <c:tx>
            <c:strRef>
              <c:f>'Hypothèses conso'!$B$102</c:f>
              <c:strCache>
                <c:ptCount val="1"/>
                <c:pt idx="0">
                  <c:v>tendanciel 2030</c:v>
                </c:pt>
              </c:strCache>
            </c:strRef>
          </c:tx>
          <c:spPr>
            <a:ln w="19050" cap="rnd">
              <a:solidFill>
                <a:schemeClr val="accent5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'Hypothèses conso'!$C$79:$W$79</c:f>
              <c:numCache>
                <c:formatCode>0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'Hypothèses conso'!$C$102:$W$102</c:f>
              <c:numCache>
                <c:formatCode>0.0</c:formatCode>
                <c:ptCount val="21"/>
                <c:pt idx="13">
                  <c:v>59.6</c:v>
                </c:pt>
                <c:pt idx="14">
                  <c:v>59.371428571428574</c:v>
                </c:pt>
                <c:pt idx="15">
                  <c:v>59.142857142857146</c:v>
                </c:pt>
                <c:pt idx="16">
                  <c:v>58.914285714285718</c:v>
                </c:pt>
                <c:pt idx="17">
                  <c:v>58.685714285714283</c:v>
                </c:pt>
                <c:pt idx="18">
                  <c:v>58.457142857142856</c:v>
                </c:pt>
                <c:pt idx="19">
                  <c:v>58.228571428571428</c:v>
                </c:pt>
                <c:pt idx="20">
                  <c:v>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1E-41F2-897A-639D23767CB1}"/>
            </c:ext>
          </c:extLst>
        </c:ser>
        <c:ser>
          <c:idx val="2"/>
          <c:order val="2"/>
          <c:tx>
            <c:strRef>
              <c:f>'Hypothèses conso'!$B$103</c:f>
              <c:strCache>
                <c:ptCount val="1"/>
                <c:pt idx="0">
                  <c:v>projection 2030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'Hypothèses conso'!$C$79:$W$79</c:f>
              <c:numCache>
                <c:formatCode>0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'Hypothèses conso'!$C$103:$W$103</c:f>
              <c:numCache>
                <c:formatCode>0.0</c:formatCode>
                <c:ptCount val="21"/>
                <c:pt idx="13">
                  <c:v>59.6</c:v>
                </c:pt>
                <c:pt idx="14">
                  <c:v>58.957142857142856</c:v>
                </c:pt>
                <c:pt idx="15">
                  <c:v>58.314285714285717</c:v>
                </c:pt>
                <c:pt idx="16">
                  <c:v>57.671428571428571</c:v>
                </c:pt>
                <c:pt idx="17">
                  <c:v>57.028571428571425</c:v>
                </c:pt>
                <c:pt idx="18">
                  <c:v>56.385714285714279</c:v>
                </c:pt>
                <c:pt idx="19">
                  <c:v>55.74285714285714</c:v>
                </c:pt>
                <c:pt idx="20">
                  <c:v>55.099999999999994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1E-41F2-897A-639D23767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0097200"/>
        <c:axId val="620095560"/>
      </c:lineChart>
      <c:catAx>
        <c:axId val="6200972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620095560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620095560"/>
        <c:scaling>
          <c:orientation val="minMax"/>
          <c:max val="65"/>
          <c:min val="4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620097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045538057742785"/>
          <c:y val="0.78226991110294253"/>
          <c:w val="0.83853368328958877"/>
          <c:h val="0.141272570337092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3175" cap="flat" cmpd="sng" algn="ctr">
      <a:solidFill>
        <a:schemeClr val="accent5"/>
      </a:solidFill>
      <a:round/>
    </a:ln>
    <a:effectLst/>
  </c:spPr>
  <c:txPr>
    <a:bodyPr/>
    <a:lstStyle/>
    <a:p>
      <a:pPr>
        <a:defRPr sz="800" baseline="0"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r>
              <a:rPr lang="fr-FR"/>
              <a:t>Oeufs</a:t>
            </a:r>
          </a:p>
        </c:rich>
      </c:tx>
      <c:layout>
        <c:manualLayout>
          <c:xMode val="edge"/>
          <c:yMode val="edge"/>
          <c:x val="0.4962500000000000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8.4226815398075236E-2"/>
          <c:y val="2.5694444444444443E-2"/>
          <c:w val="0.91577318460192481"/>
          <c:h val="0.88804060950714492"/>
        </c:manualLayout>
      </c:layout>
      <c:lineChart>
        <c:grouping val="standard"/>
        <c:varyColors val="0"/>
        <c:ser>
          <c:idx val="0"/>
          <c:order val="0"/>
          <c:tx>
            <c:strRef>
              <c:f>'Hypothèses conso'!$B$104</c:f>
              <c:strCache>
                <c:ptCount val="1"/>
                <c:pt idx="0">
                  <c:v>constaté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'Hypothèses conso'!$C$79:$W$79</c:f>
              <c:numCache>
                <c:formatCode>0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'Hypothèses conso'!$C$104:$W$104</c:f>
              <c:numCache>
                <c:formatCode>0.0</c:formatCode>
                <c:ptCount val="21"/>
                <c:pt idx="0">
                  <c:v>13.524617785779524</c:v>
                </c:pt>
                <c:pt idx="1">
                  <c:v>12.171288343897722</c:v>
                </c:pt>
                <c:pt idx="2">
                  <c:v>12.220020914292707</c:v>
                </c:pt>
                <c:pt idx="3">
                  <c:v>13.513925733026769</c:v>
                </c:pt>
                <c:pt idx="4">
                  <c:v>13.213180431526251</c:v>
                </c:pt>
                <c:pt idx="5">
                  <c:v>13.408560330305036</c:v>
                </c:pt>
                <c:pt idx="6">
                  <c:v>13.120296814924522</c:v>
                </c:pt>
                <c:pt idx="7">
                  <c:v>13.731868665175201</c:v>
                </c:pt>
                <c:pt idx="8">
                  <c:v>13.276739605409077</c:v>
                </c:pt>
                <c:pt idx="9">
                  <c:v>12.8</c:v>
                </c:pt>
                <c:pt idx="10">
                  <c:v>14.1</c:v>
                </c:pt>
                <c:pt idx="11">
                  <c:v>14.2</c:v>
                </c:pt>
                <c:pt idx="12">
                  <c:v>14.5</c:v>
                </c:pt>
                <c:pt idx="13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DB-43D9-8713-03F10343F63F}"/>
            </c:ext>
          </c:extLst>
        </c:ser>
        <c:ser>
          <c:idx val="1"/>
          <c:order val="1"/>
          <c:tx>
            <c:strRef>
              <c:f>'Hypothèses conso'!$B$105</c:f>
              <c:strCache>
                <c:ptCount val="1"/>
                <c:pt idx="0">
                  <c:v>tendanciel 2030</c:v>
                </c:pt>
              </c:strCache>
            </c:strRef>
          </c:tx>
          <c:spPr>
            <a:ln w="19050" cap="rnd">
              <a:solidFill>
                <a:schemeClr val="accent5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'Hypothèses conso'!$C$79:$W$79</c:f>
              <c:numCache>
                <c:formatCode>0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'Hypothèses conso'!$C$105:$W$105</c:f>
              <c:numCache>
                <c:formatCode>0.0</c:formatCode>
                <c:ptCount val="21"/>
                <c:pt idx="13">
                  <c:v>15</c:v>
                </c:pt>
                <c:pt idx="14">
                  <c:v>15</c:v>
                </c:pt>
                <c:pt idx="15">
                  <c:v>15</c:v>
                </c:pt>
                <c:pt idx="16">
                  <c:v>15</c:v>
                </c:pt>
                <c:pt idx="17">
                  <c:v>15</c:v>
                </c:pt>
                <c:pt idx="18">
                  <c:v>15</c:v>
                </c:pt>
                <c:pt idx="19">
                  <c:v>15</c:v>
                </c:pt>
                <c:pt idx="20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DB-43D9-8713-03F10343F63F}"/>
            </c:ext>
          </c:extLst>
        </c:ser>
        <c:ser>
          <c:idx val="2"/>
          <c:order val="2"/>
          <c:tx>
            <c:strRef>
              <c:f>'Hypothèses conso'!$B$106</c:f>
              <c:strCache>
                <c:ptCount val="1"/>
                <c:pt idx="0">
                  <c:v>projection 2030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'Hypothèses conso'!$C$79:$W$79</c:f>
              <c:numCache>
                <c:formatCode>0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'Hypothèses conso'!$C$106:$W$106</c:f>
              <c:numCache>
                <c:formatCode>0.0</c:formatCode>
                <c:ptCount val="21"/>
                <c:pt idx="13">
                  <c:v>15</c:v>
                </c:pt>
                <c:pt idx="14">
                  <c:v>14.957142857142857</c:v>
                </c:pt>
                <c:pt idx="15">
                  <c:v>14.914285714285715</c:v>
                </c:pt>
                <c:pt idx="16">
                  <c:v>14.871428571428572</c:v>
                </c:pt>
                <c:pt idx="17">
                  <c:v>14.828571428571427</c:v>
                </c:pt>
                <c:pt idx="18">
                  <c:v>14.785714285714285</c:v>
                </c:pt>
                <c:pt idx="19">
                  <c:v>14.742857142857142</c:v>
                </c:pt>
                <c:pt idx="20">
                  <c:v>14.7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DB-43D9-8713-03F10343F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0097200"/>
        <c:axId val="620095560"/>
      </c:lineChart>
      <c:catAx>
        <c:axId val="6200972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620095560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620095560"/>
        <c:scaling>
          <c:orientation val="minMax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620097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045538057742785"/>
          <c:y val="0.79999813876874915"/>
          <c:w val="0.83853368328958877"/>
          <c:h val="0.123544342671285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3175" cap="flat" cmpd="sng" algn="ctr">
      <a:solidFill>
        <a:schemeClr val="accent5"/>
      </a:solidFill>
      <a:round/>
    </a:ln>
    <a:effectLst/>
  </c:spPr>
  <c:txPr>
    <a:bodyPr/>
    <a:lstStyle/>
    <a:p>
      <a:pPr>
        <a:defRPr sz="800" baseline="0"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12" Type="http://schemas.openxmlformats.org/officeDocument/2006/relationships/chart" Target="../charts/chart22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5" Type="http://schemas.openxmlformats.org/officeDocument/2006/relationships/chart" Target="../charts/chart15.xml"/><Relationship Id="rId10" Type="http://schemas.openxmlformats.org/officeDocument/2006/relationships/chart" Target="../charts/chart2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4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png"/><Relationship Id="rId1" Type="http://schemas.openxmlformats.org/officeDocument/2006/relationships/image" Target="../media/image2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57149</xdr:colOff>
      <xdr:row>11</xdr:row>
      <xdr:rowOff>76199</xdr:rowOff>
    </xdr:from>
    <xdr:to>
      <xdr:col>2</xdr:col>
      <xdr:colOff>259263</xdr:colOff>
      <xdr:row>23</xdr:row>
      <xdr:rowOff>15513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325211</xdr:colOff>
      <xdr:row>11</xdr:row>
      <xdr:rowOff>76200</xdr:rowOff>
    </xdr:from>
    <xdr:to>
      <xdr:col>9</xdr:col>
      <xdr:colOff>271511</xdr:colOff>
      <xdr:row>23</xdr:row>
      <xdr:rowOff>15514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368753</xdr:colOff>
      <xdr:row>11</xdr:row>
      <xdr:rowOff>87086</xdr:rowOff>
    </xdr:from>
    <xdr:to>
      <xdr:col>16</xdr:col>
      <xdr:colOff>358596</xdr:colOff>
      <xdr:row>23</xdr:row>
      <xdr:rowOff>26400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55789</xdr:colOff>
      <xdr:row>11</xdr:row>
      <xdr:rowOff>88447</xdr:rowOff>
    </xdr:from>
    <xdr:to>
      <xdr:col>23</xdr:col>
      <xdr:colOff>323218</xdr:colOff>
      <xdr:row>23</xdr:row>
      <xdr:rowOff>27761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23</xdr:col>
      <xdr:colOff>390525</xdr:colOff>
      <xdr:row>11</xdr:row>
      <xdr:rowOff>83003</xdr:rowOff>
    </xdr:from>
    <xdr:to>
      <xdr:col>27</xdr:col>
      <xdr:colOff>614410</xdr:colOff>
      <xdr:row>23</xdr:row>
      <xdr:rowOff>22317</xdr:rowOff>
    </xdr:to>
    <xdr:graphicFrame macro="">
      <xdr:nvGraphicFramePr>
        <xdr:cNvPr id="30" name="Graphique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58511</xdr:colOff>
      <xdr:row>23</xdr:row>
      <xdr:rowOff>129268</xdr:rowOff>
    </xdr:from>
    <xdr:to>
      <xdr:col>2</xdr:col>
      <xdr:colOff>260625</xdr:colOff>
      <xdr:row>35</xdr:row>
      <xdr:rowOff>68583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319768</xdr:colOff>
      <xdr:row>23</xdr:row>
      <xdr:rowOff>134711</xdr:rowOff>
    </xdr:from>
    <xdr:to>
      <xdr:col>9</xdr:col>
      <xdr:colOff>266068</xdr:colOff>
      <xdr:row>35</xdr:row>
      <xdr:rowOff>74026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352425</xdr:colOff>
      <xdr:row>23</xdr:row>
      <xdr:rowOff>127907</xdr:rowOff>
    </xdr:from>
    <xdr:to>
      <xdr:col>16</xdr:col>
      <xdr:colOff>342268</xdr:colOff>
      <xdr:row>35</xdr:row>
      <xdr:rowOff>67222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17</xdr:col>
      <xdr:colOff>44903</xdr:colOff>
      <xdr:row>23</xdr:row>
      <xdr:rowOff>122464</xdr:rowOff>
    </xdr:from>
    <xdr:to>
      <xdr:col>23</xdr:col>
      <xdr:colOff>312332</xdr:colOff>
      <xdr:row>35</xdr:row>
      <xdr:rowOff>61779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23</xdr:col>
      <xdr:colOff>391887</xdr:colOff>
      <xdr:row>23</xdr:row>
      <xdr:rowOff>117022</xdr:rowOff>
    </xdr:from>
    <xdr:to>
      <xdr:col>27</xdr:col>
      <xdr:colOff>615772</xdr:colOff>
      <xdr:row>35</xdr:row>
      <xdr:rowOff>56337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0.06042</cdr:x>
      <cdr:y>0.01389</cdr:y>
    </cdr:from>
    <cdr:to>
      <cdr:x>0.2375</cdr:x>
      <cdr:y>0.13194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276225" y="38100"/>
          <a:ext cx="809625" cy="323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fr-FR" sz="800" baseline="0">
              <a:latin typeface="Marianne" panose="02000000000000000000" pitchFamily="50" charset="0"/>
            </a:rPr>
            <a:t>kg/hab/an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0.06042</cdr:x>
      <cdr:y>0.01389</cdr:y>
    </cdr:from>
    <cdr:to>
      <cdr:x>0.2375</cdr:x>
      <cdr:y>0.13194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276225" y="38100"/>
          <a:ext cx="809625" cy="323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fr-FR" sz="800" baseline="0">
              <a:latin typeface="Marianne" panose="02000000000000000000" pitchFamily="50" charset="0"/>
            </a:rPr>
            <a:t>kg/hab/an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19051</xdr:colOff>
      <xdr:row>47</xdr:row>
      <xdr:rowOff>0</xdr:rowOff>
    </xdr:from>
    <xdr:to>
      <xdr:col>13</xdr:col>
      <xdr:colOff>428625</xdr:colOff>
      <xdr:row>61</xdr:row>
      <xdr:rowOff>0</xdr:rowOff>
    </xdr:to>
    <xdr:graphicFrame macro="">
      <xdr:nvGraphicFramePr>
        <xdr:cNvPr id="8" name="Graphique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30774</xdr:colOff>
      <xdr:row>47</xdr:row>
      <xdr:rowOff>5862</xdr:rowOff>
    </xdr:from>
    <xdr:to>
      <xdr:col>4</xdr:col>
      <xdr:colOff>603740</xdr:colOff>
      <xdr:row>62</xdr:row>
      <xdr:rowOff>177312</xdr:rowOff>
    </xdr:to>
    <xdr:graphicFrame macro="">
      <xdr:nvGraphicFramePr>
        <xdr:cNvPr id="10" name="Graphique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47625</xdr:colOff>
      <xdr:row>12</xdr:row>
      <xdr:rowOff>19050</xdr:rowOff>
    </xdr:from>
    <xdr:to>
      <xdr:col>4</xdr:col>
      <xdr:colOff>57150</xdr:colOff>
      <xdr:row>27</xdr:row>
      <xdr:rowOff>47625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133350</xdr:colOff>
      <xdr:row>12</xdr:row>
      <xdr:rowOff>19050</xdr:rowOff>
    </xdr:from>
    <xdr:to>
      <xdr:col>11</xdr:col>
      <xdr:colOff>304800</xdr:colOff>
      <xdr:row>27</xdr:row>
      <xdr:rowOff>47625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419100</xdr:colOff>
      <xdr:row>12</xdr:row>
      <xdr:rowOff>19050</xdr:rowOff>
    </xdr:from>
    <xdr:to>
      <xdr:col>18</xdr:col>
      <xdr:colOff>542925</xdr:colOff>
      <xdr:row>27</xdr:row>
      <xdr:rowOff>47625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0</xdr:colOff>
      <xdr:row>12</xdr:row>
      <xdr:rowOff>0</xdr:rowOff>
    </xdr:from>
    <xdr:to>
      <xdr:col>25</xdr:col>
      <xdr:colOff>542925</xdr:colOff>
      <xdr:row>27</xdr:row>
      <xdr:rowOff>28575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47625</xdr:colOff>
      <xdr:row>12</xdr:row>
      <xdr:rowOff>0</xdr:rowOff>
    </xdr:from>
    <xdr:to>
      <xdr:col>34</xdr:col>
      <xdr:colOff>19050</xdr:colOff>
      <xdr:row>27</xdr:row>
      <xdr:rowOff>28575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47625</xdr:colOff>
      <xdr:row>30</xdr:row>
      <xdr:rowOff>0</xdr:rowOff>
    </xdr:from>
    <xdr:to>
      <xdr:col>4</xdr:col>
      <xdr:colOff>57150</xdr:colOff>
      <xdr:row>45</xdr:row>
      <xdr:rowOff>28575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123825</xdr:colOff>
      <xdr:row>30</xdr:row>
      <xdr:rowOff>0</xdr:rowOff>
    </xdr:from>
    <xdr:to>
      <xdr:col>11</xdr:col>
      <xdr:colOff>295275</xdr:colOff>
      <xdr:row>45</xdr:row>
      <xdr:rowOff>28575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409575</xdr:colOff>
      <xdr:row>30</xdr:row>
      <xdr:rowOff>0</xdr:rowOff>
    </xdr:from>
    <xdr:to>
      <xdr:col>18</xdr:col>
      <xdr:colOff>533400</xdr:colOff>
      <xdr:row>45</xdr:row>
      <xdr:rowOff>28575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19</xdr:col>
      <xdr:colOff>9525</xdr:colOff>
      <xdr:row>30</xdr:row>
      <xdr:rowOff>0</xdr:rowOff>
    </xdr:from>
    <xdr:to>
      <xdr:col>25</xdr:col>
      <xdr:colOff>552450</xdr:colOff>
      <xdr:row>45</xdr:row>
      <xdr:rowOff>28575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26</xdr:col>
      <xdr:colOff>66675</xdr:colOff>
      <xdr:row>30</xdr:row>
      <xdr:rowOff>0</xdr:rowOff>
    </xdr:from>
    <xdr:to>
      <xdr:col>34</xdr:col>
      <xdr:colOff>38100</xdr:colOff>
      <xdr:row>45</xdr:row>
      <xdr:rowOff>28575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0.09375</cdr:x>
      <cdr:y>0.02778</cdr:y>
    </cdr:from>
    <cdr:to>
      <cdr:x>0.25417</cdr:x>
      <cdr:y>0.13889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428625" y="76200"/>
          <a:ext cx="7334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fr-FR" sz="800" baseline="0">
              <a:latin typeface="Marianne" panose="02000000000000000000" pitchFamily="50" charset="0"/>
            </a:rPr>
            <a:t>x 1 000 t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0.11528</cdr:x>
      <cdr:y>0.01852</cdr:y>
    </cdr:from>
    <cdr:to>
      <cdr:x>0.27569</cdr:x>
      <cdr:y>0.12963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527050" y="50800"/>
          <a:ext cx="7334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800" baseline="0">
              <a:latin typeface="Marianne" panose="02000000000000000000" pitchFamily="50" charset="0"/>
            </a:rPr>
            <a:t>x 1 000 t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0.09653</cdr:x>
      <cdr:y>0.02199</cdr:y>
    </cdr:from>
    <cdr:to>
      <cdr:x>0.25694</cdr:x>
      <cdr:y>0.1331</cdr:y>
    </cdr:to>
    <cdr:sp macro="" textlink="">
      <cdr:nvSpPr>
        <cdr:cNvPr id="3" name="ZoneTexte 1"/>
        <cdr:cNvSpPr txBox="1"/>
      </cdr:nvSpPr>
      <cdr:spPr>
        <a:xfrm xmlns:a="http://schemas.openxmlformats.org/drawingml/2006/main">
          <a:off x="441325" y="60325"/>
          <a:ext cx="7334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800" baseline="0">
              <a:latin typeface="Marianne" panose="02000000000000000000" pitchFamily="50" charset="0"/>
            </a:rPr>
            <a:t>x 1 000 t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0.09444</cdr:x>
      <cdr:y>0.0081</cdr:y>
    </cdr:from>
    <cdr:to>
      <cdr:x>0.25486</cdr:x>
      <cdr:y>0.11921</cdr:y>
    </cdr:to>
    <cdr:sp macro="" textlink="">
      <cdr:nvSpPr>
        <cdr:cNvPr id="3" name="ZoneTexte 1"/>
        <cdr:cNvSpPr txBox="1"/>
      </cdr:nvSpPr>
      <cdr:spPr>
        <a:xfrm xmlns:a="http://schemas.openxmlformats.org/drawingml/2006/main">
          <a:off x="431800" y="22225"/>
          <a:ext cx="7334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800" baseline="0">
              <a:latin typeface="Marianne" panose="02000000000000000000" pitchFamily="50" charset="0"/>
            </a:rPr>
            <a:t>x 1 000 t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0.10278</cdr:x>
      <cdr:y>0.01157</cdr:y>
    </cdr:from>
    <cdr:to>
      <cdr:x>0.26319</cdr:x>
      <cdr:y>0.12269</cdr:y>
    </cdr:to>
    <cdr:sp macro="" textlink="">
      <cdr:nvSpPr>
        <cdr:cNvPr id="3" name="ZoneTexte 1"/>
        <cdr:cNvSpPr txBox="1"/>
      </cdr:nvSpPr>
      <cdr:spPr>
        <a:xfrm xmlns:a="http://schemas.openxmlformats.org/drawingml/2006/main">
          <a:off x="469900" y="31750"/>
          <a:ext cx="7334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800" baseline="0">
              <a:latin typeface="Marianne" panose="02000000000000000000" pitchFamily="50" charset="0"/>
            </a:rPr>
            <a:t>x 1 000 t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0.09444</cdr:x>
      <cdr:y>0.0081</cdr:y>
    </cdr:from>
    <cdr:to>
      <cdr:x>0.25486</cdr:x>
      <cdr:y>0.11921</cdr:y>
    </cdr:to>
    <cdr:sp macro="" textlink="">
      <cdr:nvSpPr>
        <cdr:cNvPr id="3" name="ZoneTexte 1"/>
        <cdr:cNvSpPr txBox="1"/>
      </cdr:nvSpPr>
      <cdr:spPr>
        <a:xfrm xmlns:a="http://schemas.openxmlformats.org/drawingml/2006/main">
          <a:off x="431800" y="22225"/>
          <a:ext cx="7334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800" baseline="0">
              <a:latin typeface="Marianne" panose="02000000000000000000" pitchFamily="50" charset="0"/>
            </a:rPr>
            <a:t>x 1 000 t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0.09444</cdr:x>
      <cdr:y>0.0081</cdr:y>
    </cdr:from>
    <cdr:to>
      <cdr:x>0.25486</cdr:x>
      <cdr:y>0.11921</cdr:y>
    </cdr:to>
    <cdr:sp macro="" textlink="">
      <cdr:nvSpPr>
        <cdr:cNvPr id="3" name="ZoneTexte 1"/>
        <cdr:cNvSpPr txBox="1"/>
      </cdr:nvSpPr>
      <cdr:spPr>
        <a:xfrm xmlns:a="http://schemas.openxmlformats.org/drawingml/2006/main">
          <a:off x="431800" y="22225"/>
          <a:ext cx="7334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800" baseline="0">
              <a:latin typeface="Marianne" panose="02000000000000000000" pitchFamily="50" charset="0"/>
            </a:rPr>
            <a:t>x 1 000 t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0.06042</cdr:x>
      <cdr:y>0.01389</cdr:y>
    </cdr:from>
    <cdr:to>
      <cdr:x>0.2375</cdr:x>
      <cdr:y>0.13194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276225" y="38100"/>
          <a:ext cx="809625" cy="323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fr-FR" sz="800" baseline="0">
              <a:latin typeface="Marianne" panose="02000000000000000000" pitchFamily="50" charset="0"/>
            </a:rPr>
            <a:t>kg/hab/an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0.09444</cdr:x>
      <cdr:y>0.0081</cdr:y>
    </cdr:from>
    <cdr:to>
      <cdr:x>0.25486</cdr:x>
      <cdr:y>0.11921</cdr:y>
    </cdr:to>
    <cdr:sp macro="" textlink="">
      <cdr:nvSpPr>
        <cdr:cNvPr id="3" name="ZoneTexte 1"/>
        <cdr:cNvSpPr txBox="1"/>
      </cdr:nvSpPr>
      <cdr:spPr>
        <a:xfrm xmlns:a="http://schemas.openxmlformats.org/drawingml/2006/main">
          <a:off x="431800" y="22225"/>
          <a:ext cx="7334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800" baseline="0">
              <a:latin typeface="Marianne" panose="02000000000000000000" pitchFamily="50" charset="0"/>
            </a:rPr>
            <a:t>x 1 000 t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0.09444</cdr:x>
      <cdr:y>0.0081</cdr:y>
    </cdr:from>
    <cdr:to>
      <cdr:x>0.25486</cdr:x>
      <cdr:y>0.11921</cdr:y>
    </cdr:to>
    <cdr:sp macro="" textlink="">
      <cdr:nvSpPr>
        <cdr:cNvPr id="3" name="ZoneTexte 1"/>
        <cdr:cNvSpPr txBox="1"/>
      </cdr:nvSpPr>
      <cdr:spPr>
        <a:xfrm xmlns:a="http://schemas.openxmlformats.org/drawingml/2006/main">
          <a:off x="431800" y="22225"/>
          <a:ext cx="7334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800" baseline="0">
              <a:latin typeface="Marianne" panose="02000000000000000000" pitchFamily="50" charset="0"/>
            </a:rPr>
            <a:t>x 1 000 t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0.09444</cdr:x>
      <cdr:y>0.0081</cdr:y>
    </cdr:from>
    <cdr:to>
      <cdr:x>0.25486</cdr:x>
      <cdr:y>0.11921</cdr:y>
    </cdr:to>
    <cdr:sp macro="" textlink="">
      <cdr:nvSpPr>
        <cdr:cNvPr id="3" name="ZoneTexte 1"/>
        <cdr:cNvSpPr txBox="1"/>
      </cdr:nvSpPr>
      <cdr:spPr>
        <a:xfrm xmlns:a="http://schemas.openxmlformats.org/drawingml/2006/main">
          <a:off x="431800" y="22225"/>
          <a:ext cx="7334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800" baseline="0">
              <a:latin typeface="Marianne" panose="02000000000000000000" pitchFamily="50" charset="0"/>
            </a:rPr>
            <a:t>x 1 000 t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28574</xdr:colOff>
      <xdr:row>1</xdr:row>
      <xdr:rowOff>9526</xdr:rowOff>
    </xdr:from>
    <xdr:to>
      <xdr:col>6</xdr:col>
      <xdr:colOff>228600</xdr:colOff>
      <xdr:row>19</xdr:row>
      <xdr:rowOff>171450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47625</xdr:colOff>
      <xdr:row>49</xdr:row>
      <xdr:rowOff>19050</xdr:rowOff>
    </xdr:from>
    <xdr:to>
      <xdr:col>6</xdr:col>
      <xdr:colOff>171450</xdr:colOff>
      <xdr:row>67</xdr:row>
      <xdr:rowOff>171450</xdr:rowOff>
    </xdr:to>
    <xdr:graphicFrame macro="">
      <xdr:nvGraphicFramePr>
        <xdr:cNvPr id="4" name="Graphique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609599</xdr:colOff>
      <xdr:row>49</xdr:row>
      <xdr:rowOff>9525</xdr:rowOff>
    </xdr:from>
    <xdr:to>
      <xdr:col>16</xdr:col>
      <xdr:colOff>457200</xdr:colOff>
      <xdr:row>68</xdr:row>
      <xdr:rowOff>0</xdr:rowOff>
    </xdr:to>
    <xdr:graphicFrame macro="">
      <xdr:nvGraphicFramePr>
        <xdr:cNvPr id="6" name="Graphique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36195</xdr:colOff>
      <xdr:row>24</xdr:row>
      <xdr:rowOff>7619</xdr:rowOff>
    </xdr:from>
    <xdr:to>
      <xdr:col>7</xdr:col>
      <xdr:colOff>386715</xdr:colOff>
      <xdr:row>45</xdr:row>
      <xdr:rowOff>26669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0.07048</cdr:x>
      <cdr:y>0.89181</cdr:y>
    </cdr:from>
    <cdr:to>
      <cdr:x>0.15621</cdr:x>
      <cdr:y>0.97462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406768" y="3479907"/>
          <a:ext cx="494744" cy="3231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fr-FR" sz="800" baseline="0">
              <a:latin typeface="Marianne" panose="02000000000000000000" pitchFamily="50" charset="0"/>
            </a:rPr>
            <a:t>ha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0.10248</cdr:x>
      <cdr:y>0.89385</cdr:y>
    </cdr:from>
    <cdr:to>
      <cdr:x>0.21983</cdr:x>
      <cdr:y>0.98045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590550" y="3048000"/>
          <a:ext cx="676275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fr-FR" sz="800" baseline="0">
              <a:latin typeface="Marianne" panose="02000000000000000000" pitchFamily="50" charset="0"/>
            </a:rPr>
            <a:t>ha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0.06481</cdr:x>
      <cdr:y>0.83874</cdr:y>
    </cdr:from>
    <cdr:to>
      <cdr:x>0.14077</cdr:x>
      <cdr:y>0.91288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422275" y="3203575"/>
          <a:ext cx="494863" cy="2831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800" baseline="0">
              <a:latin typeface="Marianne" panose="02000000000000000000" pitchFamily="50" charset="0"/>
            </a:rPr>
            <a:t>ha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58</xdr:col>
      <xdr:colOff>533400</xdr:colOff>
      <xdr:row>89</xdr:row>
      <xdr:rowOff>161925</xdr:rowOff>
    </xdr:from>
    <xdr:to>
      <xdr:col>63</xdr:col>
      <xdr:colOff>619125</xdr:colOff>
      <xdr:row>107</xdr:row>
      <xdr:rowOff>9525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85</xdr:row>
      <xdr:rowOff>114300</xdr:rowOff>
    </xdr:from>
    <xdr:to>
      <xdr:col>5</xdr:col>
      <xdr:colOff>38100</xdr:colOff>
      <xdr:row>100</xdr:row>
      <xdr:rowOff>142875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319088</xdr:colOff>
      <xdr:row>85</xdr:row>
      <xdr:rowOff>142875</xdr:rowOff>
    </xdr:from>
    <xdr:to>
      <xdr:col>11</xdr:col>
      <xdr:colOff>557213</xdr:colOff>
      <xdr:row>100</xdr:row>
      <xdr:rowOff>171450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42334</xdr:colOff>
      <xdr:row>0</xdr:row>
      <xdr:rowOff>76199</xdr:rowOff>
    </xdr:from>
    <xdr:to>
      <xdr:col>7</xdr:col>
      <xdr:colOff>764289</xdr:colOff>
      <xdr:row>25</xdr:row>
      <xdr:rowOff>167983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334" y="76199"/>
          <a:ext cx="6496222" cy="4748451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0</xdr:col>
      <xdr:colOff>50801</xdr:colOff>
      <xdr:row>30</xdr:row>
      <xdr:rowOff>110066</xdr:rowOff>
    </xdr:from>
    <xdr:to>
      <xdr:col>8</xdr:col>
      <xdr:colOff>364068</xdr:colOff>
      <xdr:row>57</xdr:row>
      <xdr:rowOff>29523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801" y="6443133"/>
          <a:ext cx="6883400" cy="4948657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0</xdr:col>
      <xdr:colOff>57150</xdr:colOff>
      <xdr:row>145</xdr:row>
      <xdr:rowOff>9525</xdr:rowOff>
    </xdr:from>
    <xdr:to>
      <xdr:col>9</xdr:col>
      <xdr:colOff>962025</xdr:colOff>
      <xdr:row>176</xdr:row>
      <xdr:rowOff>85639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150" y="26250900"/>
          <a:ext cx="8248650" cy="5686339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8</xdr:col>
      <xdr:colOff>698843</xdr:colOff>
      <xdr:row>0</xdr:row>
      <xdr:rowOff>50715</xdr:rowOff>
    </xdr:from>
    <xdr:to>
      <xdr:col>14</xdr:col>
      <xdr:colOff>62907</xdr:colOff>
      <xdr:row>28</xdr:row>
      <xdr:rowOff>167417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13868" y="50715"/>
          <a:ext cx="4783789" cy="5184002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11</xdr:col>
      <xdr:colOff>122768</xdr:colOff>
      <xdr:row>145</xdr:row>
      <xdr:rowOff>20108</xdr:rowOff>
    </xdr:from>
    <xdr:to>
      <xdr:col>22</xdr:col>
      <xdr:colOff>76201</xdr:colOff>
      <xdr:row>177</xdr:row>
      <xdr:rowOff>121543</xdr:rowOff>
    </xdr:to>
    <xdr:pic>
      <xdr:nvPicPr>
        <xdr:cNvPr id="8" name="Image 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409518" y="26261483"/>
          <a:ext cx="8649758" cy="5892635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9</xdr:col>
      <xdr:colOff>237067</xdr:colOff>
      <xdr:row>29</xdr:row>
      <xdr:rowOff>151342</xdr:rowOff>
    </xdr:from>
    <xdr:to>
      <xdr:col>14</xdr:col>
      <xdr:colOff>46567</xdr:colOff>
      <xdr:row>56</xdr:row>
      <xdr:rowOff>144852</xdr:rowOff>
    </xdr:to>
    <xdr:pic>
      <xdr:nvPicPr>
        <xdr:cNvPr id="9" name="Image 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942667" y="5399617"/>
          <a:ext cx="4438650" cy="4879835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0</xdr:col>
      <xdr:colOff>57150</xdr:colOff>
      <xdr:row>363</xdr:row>
      <xdr:rowOff>104775</xdr:rowOff>
    </xdr:from>
    <xdr:to>
      <xdr:col>8</xdr:col>
      <xdr:colOff>742950</xdr:colOff>
      <xdr:row>399</xdr:row>
      <xdr:rowOff>15944</xdr:rowOff>
    </xdr:to>
    <xdr:pic>
      <xdr:nvPicPr>
        <xdr:cNvPr id="12" name="Image 1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7150" y="65798700"/>
          <a:ext cx="7239000" cy="6426269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</xdr:colOff>
      <xdr:row>399</xdr:row>
      <xdr:rowOff>142874</xdr:rowOff>
    </xdr:from>
    <xdr:to>
      <xdr:col>8</xdr:col>
      <xdr:colOff>647699</xdr:colOff>
      <xdr:row>436</xdr:row>
      <xdr:rowOff>172170</xdr:rowOff>
    </xdr:to>
    <xdr:pic>
      <xdr:nvPicPr>
        <xdr:cNvPr id="13" name="Image 1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8574" y="72351899"/>
          <a:ext cx="7172325" cy="67253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10</xdr:col>
      <xdr:colOff>437091</xdr:colOff>
      <xdr:row>94</xdr:row>
      <xdr:rowOff>22846</xdr:rowOff>
    </xdr:to>
    <xdr:pic>
      <xdr:nvPicPr>
        <xdr:cNvPr id="21" name="Image 2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3224932"/>
          <a:ext cx="8932333" cy="67337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1</xdr:rowOff>
    </xdr:from>
    <xdr:to>
      <xdr:col>8</xdr:col>
      <xdr:colOff>304800</xdr:colOff>
      <xdr:row>122</xdr:row>
      <xdr:rowOff>23747</xdr:rowOff>
    </xdr:to>
    <xdr:pic>
      <xdr:nvPicPr>
        <xdr:cNvPr id="22" name="Image 2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20116801"/>
          <a:ext cx="6874933" cy="5052946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9</xdr:col>
      <xdr:colOff>200025</xdr:colOff>
      <xdr:row>94</xdr:row>
      <xdr:rowOff>104775</xdr:rowOff>
    </xdr:from>
    <xdr:to>
      <xdr:col>14</xdr:col>
      <xdr:colOff>45320</xdr:colOff>
      <xdr:row>122</xdr:row>
      <xdr:rowOff>76200</xdr:rowOff>
    </xdr:to>
    <xdr:pic>
      <xdr:nvPicPr>
        <xdr:cNvPr id="23" name="Image 2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905625" y="17116425"/>
          <a:ext cx="4474445" cy="5038725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11</xdr:col>
      <xdr:colOff>51851</xdr:colOff>
      <xdr:row>144</xdr:row>
      <xdr:rowOff>66385</xdr:rowOff>
    </xdr:to>
    <xdr:pic>
      <xdr:nvPicPr>
        <xdr:cNvPr id="24" name="Image 2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22259925"/>
          <a:ext cx="9653051" cy="38668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186</xdr:row>
      <xdr:rowOff>0</xdr:rowOff>
    </xdr:from>
    <xdr:to>
      <xdr:col>10</xdr:col>
      <xdr:colOff>990600</xdr:colOff>
      <xdr:row>209</xdr:row>
      <xdr:rowOff>77158</xdr:rowOff>
    </xdr:to>
    <xdr:pic>
      <xdr:nvPicPr>
        <xdr:cNvPr id="25" name="Image 24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33661350"/>
          <a:ext cx="9458325" cy="42395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210</xdr:row>
      <xdr:rowOff>0</xdr:rowOff>
    </xdr:from>
    <xdr:to>
      <xdr:col>10</xdr:col>
      <xdr:colOff>770467</xdr:colOff>
      <xdr:row>236</xdr:row>
      <xdr:rowOff>94154</xdr:rowOff>
    </xdr:to>
    <xdr:pic>
      <xdr:nvPicPr>
        <xdr:cNvPr id="26" name="Image 25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38004750"/>
          <a:ext cx="9238192" cy="47995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236</xdr:row>
      <xdr:rowOff>180974</xdr:rowOff>
    </xdr:from>
    <xdr:to>
      <xdr:col>9</xdr:col>
      <xdr:colOff>437933</xdr:colOff>
      <xdr:row>276</xdr:row>
      <xdr:rowOff>114299</xdr:rowOff>
    </xdr:to>
    <xdr:pic>
      <xdr:nvPicPr>
        <xdr:cNvPr id="27" name="Image 26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42891074"/>
          <a:ext cx="7781708" cy="7172325"/>
        </a:xfrm>
        <a:prstGeom prst="rect">
          <a:avLst/>
        </a:prstGeom>
      </xdr:spPr>
    </xdr:pic>
    <xdr:clientData/>
  </xdr:twoCellAnchor>
  <xdr:twoCellAnchor editAs="oneCell">
    <xdr:from>
      <xdr:col>10</xdr:col>
      <xdr:colOff>695325</xdr:colOff>
      <xdr:row>245</xdr:row>
      <xdr:rowOff>114300</xdr:rowOff>
    </xdr:from>
    <xdr:to>
      <xdr:col>20</xdr:col>
      <xdr:colOff>204507</xdr:colOff>
      <xdr:row>275</xdr:row>
      <xdr:rowOff>57616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8191500" y="44453175"/>
          <a:ext cx="7757832" cy="53725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282</xdr:row>
      <xdr:rowOff>180974</xdr:rowOff>
    </xdr:from>
    <xdr:to>
      <xdr:col>8</xdr:col>
      <xdr:colOff>503460</xdr:colOff>
      <xdr:row>322</xdr:row>
      <xdr:rowOff>95249</xdr:rowOff>
    </xdr:to>
    <xdr:pic>
      <xdr:nvPicPr>
        <xdr:cNvPr id="20" name="Image 19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51215924"/>
          <a:ext cx="7056660" cy="7153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323</xdr:row>
      <xdr:rowOff>180974</xdr:rowOff>
    </xdr:from>
    <xdr:to>
      <xdr:col>8</xdr:col>
      <xdr:colOff>781050</xdr:colOff>
      <xdr:row>362</xdr:row>
      <xdr:rowOff>47378</xdr:rowOff>
    </xdr:to>
    <xdr:pic>
      <xdr:nvPicPr>
        <xdr:cNvPr id="28" name="Image 27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58635899"/>
          <a:ext cx="7334250" cy="6924429"/>
        </a:xfrm>
        <a:prstGeom prst="rect">
          <a:avLst/>
        </a:prstGeom>
      </xdr:spPr>
    </xdr:pic>
    <xdr:clientData/>
  </xdr:twoCellAnchor>
  <xdr:twoCellAnchor editAs="oneCell">
    <xdr:from>
      <xdr:col>25</xdr:col>
      <xdr:colOff>533400</xdr:colOff>
      <xdr:row>323</xdr:row>
      <xdr:rowOff>142875</xdr:rowOff>
    </xdr:from>
    <xdr:to>
      <xdr:col>35</xdr:col>
      <xdr:colOff>217828</xdr:colOff>
      <xdr:row>360</xdr:row>
      <xdr:rowOff>15809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9888200" y="58597800"/>
          <a:ext cx="7590178" cy="6569009"/>
        </a:xfrm>
        <a:prstGeom prst="rect">
          <a:avLst/>
        </a:prstGeom>
      </xdr:spPr>
    </xdr:pic>
    <xdr:clientData/>
  </xdr:twoCellAnchor>
  <xdr:twoCellAnchor editAs="oneCell">
    <xdr:from>
      <xdr:col>36</xdr:col>
      <xdr:colOff>0</xdr:colOff>
      <xdr:row>323</xdr:row>
      <xdr:rowOff>180974</xdr:rowOff>
    </xdr:from>
    <xdr:to>
      <xdr:col>46</xdr:col>
      <xdr:colOff>742950</xdr:colOff>
      <xdr:row>358</xdr:row>
      <xdr:rowOff>116512</xdr:rowOff>
    </xdr:to>
    <xdr:pic>
      <xdr:nvPicPr>
        <xdr:cNvPr id="11" name="Image 10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8394025" y="58635899"/>
          <a:ext cx="8648700" cy="6269663"/>
        </a:xfrm>
        <a:prstGeom prst="rect">
          <a:avLst/>
        </a:prstGeom>
      </xdr:spPr>
    </xdr:pic>
    <xdr:clientData/>
  </xdr:twoCellAnchor>
  <xdr:twoCellAnchor editAs="oneCell">
    <xdr:from>
      <xdr:col>47</xdr:col>
      <xdr:colOff>76200</xdr:colOff>
      <xdr:row>324</xdr:row>
      <xdr:rowOff>66675</xdr:rowOff>
    </xdr:from>
    <xdr:to>
      <xdr:col>62</xdr:col>
      <xdr:colOff>425477</xdr:colOff>
      <xdr:row>359</xdr:row>
      <xdr:rowOff>133350</xdr:rowOff>
    </xdr:to>
    <xdr:pic>
      <xdr:nvPicPr>
        <xdr:cNvPr id="14" name="Image 13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7166550" y="58702575"/>
          <a:ext cx="12207902" cy="6400800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0.06042</cdr:x>
      <cdr:y>0.01389</cdr:y>
    </cdr:from>
    <cdr:to>
      <cdr:x>0.2375</cdr:x>
      <cdr:y>0.13194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276225" y="38100"/>
          <a:ext cx="809625" cy="323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fr-FR" sz="800" baseline="0">
              <a:latin typeface="Marianne" panose="02000000000000000000" pitchFamily="50" charset="0"/>
            </a:rPr>
            <a:t>kg/hab/an</a:t>
          </a: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0</xdr:colOff>
      <xdr:row>0</xdr:row>
      <xdr:rowOff>0</xdr:rowOff>
    </xdr:from>
    <xdr:to>
      <xdr:col>25</xdr:col>
      <xdr:colOff>480650</xdr:colOff>
      <xdr:row>33</xdr:row>
      <xdr:rowOff>135832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192375" y="0"/>
          <a:ext cx="6805250" cy="6660457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0</xdr:row>
      <xdr:rowOff>0</xdr:rowOff>
    </xdr:from>
    <xdr:to>
      <xdr:col>33</xdr:col>
      <xdr:colOff>692055</xdr:colOff>
      <xdr:row>30</xdr:row>
      <xdr:rowOff>99587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307550" y="0"/>
          <a:ext cx="6226080" cy="6081287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0</xdr:row>
      <xdr:rowOff>0</xdr:rowOff>
    </xdr:from>
    <xdr:to>
      <xdr:col>41</xdr:col>
      <xdr:colOff>272918</xdr:colOff>
      <xdr:row>24</xdr:row>
      <xdr:rowOff>103303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632150" y="0"/>
          <a:ext cx="5806943" cy="499915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335280</xdr:colOff>
      <xdr:row>0</xdr:row>
      <xdr:rowOff>0</xdr:rowOff>
    </xdr:from>
    <xdr:to>
      <xdr:col>20</xdr:col>
      <xdr:colOff>778034</xdr:colOff>
      <xdr:row>28</xdr:row>
      <xdr:rowOff>107133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66760" y="0"/>
          <a:ext cx="9160034" cy="5227773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29</xdr:row>
      <xdr:rowOff>0</xdr:rowOff>
    </xdr:from>
    <xdr:to>
      <xdr:col>20</xdr:col>
      <xdr:colOff>275099</xdr:colOff>
      <xdr:row>66</xdr:row>
      <xdr:rowOff>160620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31480" y="5303520"/>
          <a:ext cx="8992379" cy="6927180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0.06042</cdr:x>
      <cdr:y>0.01389</cdr:y>
    </cdr:from>
    <cdr:to>
      <cdr:x>0.2375</cdr:x>
      <cdr:y>0.13194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276225" y="38100"/>
          <a:ext cx="809625" cy="323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fr-FR" sz="800" baseline="0">
              <a:latin typeface="Marianne" panose="02000000000000000000" pitchFamily="50" charset="0"/>
            </a:rPr>
            <a:t>kg/hab/an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0.05375</cdr:x>
      <cdr:y>0.05901</cdr:y>
    </cdr:from>
    <cdr:to>
      <cdr:x>0.23083</cdr:x>
      <cdr:y>0.17706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153644" y="124572"/>
          <a:ext cx="506135" cy="2492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fr-FR" sz="800" baseline="0">
              <a:latin typeface="Marianne" panose="02000000000000000000" pitchFamily="50" charset="0"/>
            </a:rPr>
            <a:t>kg/hab/an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0.06042</cdr:x>
      <cdr:y>0.01389</cdr:y>
    </cdr:from>
    <cdr:to>
      <cdr:x>0.2375</cdr:x>
      <cdr:y>0.13194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276225" y="38100"/>
          <a:ext cx="809625" cy="323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fr-FR" sz="800" baseline="0">
              <a:latin typeface="Marianne" panose="02000000000000000000" pitchFamily="50" charset="0"/>
            </a:rPr>
            <a:t>kg/hab/an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0.06042</cdr:x>
      <cdr:y>0.01389</cdr:y>
    </cdr:from>
    <cdr:to>
      <cdr:x>0.2375</cdr:x>
      <cdr:y>0.13194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276225" y="38100"/>
          <a:ext cx="809625" cy="323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fr-FR" sz="800" baseline="0">
              <a:latin typeface="Marianne" panose="02000000000000000000" pitchFamily="50" charset="0"/>
            </a:rPr>
            <a:t>kg/hab/an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0.06042</cdr:x>
      <cdr:y>0.01389</cdr:y>
    </cdr:from>
    <cdr:to>
      <cdr:x>0.2375</cdr:x>
      <cdr:y>0.13194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276225" y="38100"/>
          <a:ext cx="809625" cy="323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fr-FR" sz="800" baseline="0">
              <a:latin typeface="Marianne" panose="02000000000000000000" pitchFamily="50" charset="0"/>
            </a:rPr>
            <a:t>kg/hab/an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0.06042</cdr:x>
      <cdr:y>0.01389</cdr:y>
    </cdr:from>
    <cdr:to>
      <cdr:x>0.2375</cdr:x>
      <cdr:y>0.13194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276225" y="38100"/>
          <a:ext cx="809625" cy="323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fr-FR" sz="800" baseline="0">
              <a:latin typeface="Marianne" panose="02000000000000000000" pitchFamily="50" charset="0"/>
            </a:rPr>
            <a:t>kg/hab/an</a:t>
          </a:r>
        </a:p>
      </cdr:txBody>
    </cdr:sp>
  </cdr:relSizeAnchor>
</c:userShape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4"/>
  <sheetViews>
    <sheetView tabSelected="1" workbookViewId="0">
      <selection activeCell="A15" sqref="A15"/>
    </sheetView>
  </sheetViews>
  <sheetFormatPr baseColWidth="10" defaultRowHeight="14.4" x14ac:dyDescent="0.3"/>
  <sheetData>
    <row r="1" spans="1:1" x14ac:dyDescent="0.3">
      <c r="A1" s="567" t="s">
        <v>559</v>
      </c>
    </row>
    <row r="2" spans="1:1" x14ac:dyDescent="0.3">
      <c r="A2" t="s">
        <v>560</v>
      </c>
    </row>
    <row r="3" spans="1:1" x14ac:dyDescent="0.3">
      <c r="A3" t="s">
        <v>561</v>
      </c>
    </row>
    <row r="5" spans="1:1" x14ac:dyDescent="0.3">
      <c r="A5" t="s">
        <v>622</v>
      </c>
    </row>
    <row r="6" spans="1:1" x14ac:dyDescent="0.3">
      <c r="A6" t="s">
        <v>562</v>
      </c>
    </row>
    <row r="7" spans="1:1" x14ac:dyDescent="0.3">
      <c r="A7" t="s">
        <v>563</v>
      </c>
    </row>
    <row r="9" spans="1:1" x14ac:dyDescent="0.3">
      <c r="A9" t="s">
        <v>564</v>
      </c>
    </row>
    <row r="11" spans="1:1" x14ac:dyDescent="0.3">
      <c r="A11" t="s">
        <v>621</v>
      </c>
    </row>
    <row r="12" spans="1:1" x14ac:dyDescent="0.3">
      <c r="A12" t="s">
        <v>565</v>
      </c>
    </row>
    <row r="13" spans="1:1" x14ac:dyDescent="0.3">
      <c r="A13" t="s">
        <v>567</v>
      </c>
    </row>
    <row r="14" spans="1:1" x14ac:dyDescent="0.3">
      <c r="A14" t="s">
        <v>566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7"/>
  <sheetViews>
    <sheetView topLeftCell="A9" zoomScale="80" zoomScaleNormal="80" workbookViewId="0">
      <selection activeCell="A14" sqref="A14:B15"/>
    </sheetView>
  </sheetViews>
  <sheetFormatPr baseColWidth="10" defaultRowHeight="14.4" x14ac:dyDescent="0.3"/>
  <cols>
    <col min="1" max="1" width="32.33203125" customWidth="1"/>
    <col min="2" max="2" width="10.44140625" customWidth="1"/>
    <col min="3" max="3" width="10.44140625" bestFit="1" customWidth="1"/>
    <col min="4" max="4" width="10.88671875" bestFit="1" customWidth="1"/>
    <col min="5" max="5" width="9.5546875" customWidth="1"/>
    <col min="6" max="6" width="16" customWidth="1"/>
    <col min="7" max="7" width="9.33203125" customWidth="1"/>
    <col min="8" max="8" width="14.21875" customWidth="1"/>
    <col min="9" max="9" width="12.88671875" customWidth="1"/>
    <col min="10" max="10" width="13.109375" customWidth="1"/>
    <col min="11" max="11" width="9.88671875" customWidth="1"/>
    <col min="12" max="12" width="9.77734375" customWidth="1"/>
    <col min="13" max="13" width="9.21875" customWidth="1"/>
    <col min="14" max="14" width="8.88671875" customWidth="1"/>
    <col min="15" max="15" width="9.77734375" customWidth="1"/>
    <col min="16" max="16" width="16.44140625" customWidth="1"/>
  </cols>
  <sheetData>
    <row r="1" spans="1:16" ht="28.8" x14ac:dyDescent="0.3">
      <c r="A1" s="43" t="s">
        <v>49</v>
      </c>
      <c r="B1" s="43" t="s">
        <v>50</v>
      </c>
      <c r="C1" s="44" t="s">
        <v>51</v>
      </c>
      <c r="D1" s="44" t="s">
        <v>52</v>
      </c>
      <c r="E1" s="44" t="s">
        <v>53</v>
      </c>
      <c r="F1" s="44" t="s">
        <v>54</v>
      </c>
      <c r="G1" s="44" t="s">
        <v>55</v>
      </c>
      <c r="I1" s="63" t="s">
        <v>63</v>
      </c>
      <c r="J1" s="43" t="s">
        <v>64</v>
      </c>
      <c r="K1" s="43" t="s">
        <v>50</v>
      </c>
      <c r="L1" s="44" t="s">
        <v>51</v>
      </c>
      <c r="M1" s="44" t="s">
        <v>52</v>
      </c>
      <c r="N1" s="44" t="s">
        <v>53</v>
      </c>
      <c r="O1" s="44" t="s">
        <v>54</v>
      </c>
      <c r="P1" s="44" t="s">
        <v>55</v>
      </c>
    </row>
    <row r="2" spans="1:16" x14ac:dyDescent="0.3">
      <c r="A2" s="43" t="s">
        <v>56</v>
      </c>
      <c r="B2" s="44">
        <v>0.01</v>
      </c>
      <c r="C2" s="44">
        <v>0.33</v>
      </c>
      <c r="D2" s="44">
        <v>0.54</v>
      </c>
      <c r="E2" s="44">
        <v>0.16</v>
      </c>
      <c r="F2" s="44">
        <v>0.4</v>
      </c>
      <c r="G2" s="44">
        <v>0.25</v>
      </c>
      <c r="I2" s="63">
        <v>6.4</v>
      </c>
      <c r="J2" s="43" t="s">
        <v>56</v>
      </c>
      <c r="K2" s="44">
        <f t="shared" ref="K2:P2" si="0">B2*$I$2</f>
        <v>6.4000000000000001E-2</v>
      </c>
      <c r="L2" s="44">
        <f t="shared" si="0"/>
        <v>2.1120000000000001</v>
      </c>
      <c r="M2" s="44">
        <f t="shared" si="0"/>
        <v>3.4560000000000004</v>
      </c>
      <c r="N2" s="44">
        <f t="shared" si="0"/>
        <v>1.024</v>
      </c>
      <c r="O2" s="44">
        <f t="shared" si="0"/>
        <v>2.5600000000000005</v>
      </c>
      <c r="P2" s="44">
        <f t="shared" si="0"/>
        <v>1.6</v>
      </c>
    </row>
    <row r="3" spans="1:16" x14ac:dyDescent="0.3">
      <c r="A3" s="45" t="s">
        <v>57</v>
      </c>
      <c r="B3" s="45">
        <v>0.04</v>
      </c>
      <c r="C3" s="45">
        <v>0.86</v>
      </c>
      <c r="D3" s="44">
        <v>0.23</v>
      </c>
      <c r="E3" s="44">
        <v>0.3</v>
      </c>
      <c r="F3" s="44">
        <v>0.57999999999999996</v>
      </c>
      <c r="G3" s="44">
        <v>0.48</v>
      </c>
      <c r="I3" s="63">
        <v>3</v>
      </c>
      <c r="J3" s="45" t="s">
        <v>57</v>
      </c>
      <c r="K3" s="44">
        <f t="shared" ref="K3:P3" si="1">B3*$I$3</f>
        <v>0.12</v>
      </c>
      <c r="L3" s="44">
        <f t="shared" si="1"/>
        <v>2.58</v>
      </c>
      <c r="M3" s="44">
        <f t="shared" si="1"/>
        <v>0.69000000000000006</v>
      </c>
      <c r="N3" s="44">
        <f t="shared" si="1"/>
        <v>0.89999999999999991</v>
      </c>
      <c r="O3" s="44">
        <f t="shared" si="1"/>
        <v>1.7399999999999998</v>
      </c>
      <c r="P3" s="44">
        <f t="shared" si="1"/>
        <v>1.44</v>
      </c>
    </row>
    <row r="4" spans="1:16" x14ac:dyDescent="0.3">
      <c r="A4" s="45" t="s">
        <v>58</v>
      </c>
      <c r="B4" s="45">
        <v>0.13</v>
      </c>
      <c r="C4" s="45">
        <v>5.55</v>
      </c>
      <c r="D4" s="44">
        <v>6.86</v>
      </c>
      <c r="E4" s="44">
        <v>0</v>
      </c>
      <c r="F4" s="44">
        <v>0</v>
      </c>
      <c r="G4" s="44">
        <v>0</v>
      </c>
      <c r="J4" s="45" t="s">
        <v>58</v>
      </c>
      <c r="K4" s="44"/>
      <c r="L4" s="45"/>
      <c r="M4" s="44"/>
      <c r="N4" s="44"/>
      <c r="O4" s="44"/>
      <c r="P4" s="44"/>
    </row>
    <row r="5" spans="1:16" x14ac:dyDescent="0.3">
      <c r="A5" s="45" t="s">
        <v>59</v>
      </c>
      <c r="B5" s="45">
        <v>0.03</v>
      </c>
      <c r="C5" s="45">
        <v>0.44</v>
      </c>
      <c r="D5" s="44">
        <v>0</v>
      </c>
      <c r="E5" s="44">
        <v>0</v>
      </c>
      <c r="F5" s="44">
        <v>0</v>
      </c>
      <c r="G5" s="44">
        <v>0</v>
      </c>
      <c r="I5" s="63">
        <v>10.1</v>
      </c>
      <c r="J5" s="45" t="s">
        <v>59</v>
      </c>
      <c r="K5" s="44">
        <f t="shared" ref="K5:P5" si="2">B5*$I$5</f>
        <v>0.30299999999999999</v>
      </c>
      <c r="L5" s="44">
        <f t="shared" si="2"/>
        <v>4.444</v>
      </c>
      <c r="M5" s="44">
        <f t="shared" si="2"/>
        <v>0</v>
      </c>
      <c r="N5" s="44">
        <f t="shared" si="2"/>
        <v>0</v>
      </c>
      <c r="O5" s="44">
        <f t="shared" si="2"/>
        <v>0</v>
      </c>
      <c r="P5" s="44">
        <f t="shared" si="2"/>
        <v>0</v>
      </c>
    </row>
    <row r="6" spans="1:16" x14ac:dyDescent="0.3">
      <c r="A6" s="46" t="s">
        <v>60</v>
      </c>
      <c r="B6" s="9">
        <f t="shared" ref="B6:G6" si="3">SUM(B2:B5)</f>
        <v>0.21</v>
      </c>
      <c r="C6" s="9">
        <f t="shared" si="3"/>
        <v>7.1800000000000006</v>
      </c>
      <c r="D6" s="9">
        <f t="shared" si="3"/>
        <v>7.6300000000000008</v>
      </c>
      <c r="E6" s="9">
        <f t="shared" si="3"/>
        <v>0.45999999999999996</v>
      </c>
      <c r="F6" s="9">
        <f t="shared" si="3"/>
        <v>0.98</v>
      </c>
      <c r="G6" s="9">
        <f t="shared" si="3"/>
        <v>0.73</v>
      </c>
      <c r="I6" s="79">
        <f>0.184/0.05</f>
        <v>3.6799999999999997</v>
      </c>
      <c r="J6" s="118" t="s">
        <v>143</v>
      </c>
      <c r="K6" s="79">
        <f>K3+K2</f>
        <v>0.184</v>
      </c>
      <c r="L6" s="79">
        <f>L3+L2</f>
        <v>4.6920000000000002</v>
      </c>
    </row>
    <row r="7" spans="1:16" x14ac:dyDescent="0.3">
      <c r="A7" s="46" t="s">
        <v>61</v>
      </c>
      <c r="B7" s="110">
        <f t="shared" ref="B7:G7" si="4">B2+B3+B5</f>
        <v>0.08</v>
      </c>
      <c r="C7" s="110">
        <f t="shared" si="4"/>
        <v>1.63</v>
      </c>
      <c r="D7" s="110">
        <f t="shared" si="4"/>
        <v>0.77</v>
      </c>
      <c r="E7" s="110">
        <f t="shared" si="4"/>
        <v>0.45999999999999996</v>
      </c>
      <c r="F7" s="110">
        <f t="shared" si="4"/>
        <v>0.98</v>
      </c>
      <c r="G7" s="110">
        <f t="shared" si="4"/>
        <v>0.73</v>
      </c>
      <c r="J7" s="46" t="s">
        <v>65</v>
      </c>
      <c r="K7" s="110">
        <f t="shared" ref="K7:P7" si="5">SUM(K2:K5)</f>
        <v>0.48699999999999999</v>
      </c>
      <c r="L7" s="110">
        <f t="shared" si="5"/>
        <v>9.1359999999999992</v>
      </c>
      <c r="M7" s="110">
        <f t="shared" si="5"/>
        <v>4.1460000000000008</v>
      </c>
      <c r="N7" s="110">
        <f t="shared" si="5"/>
        <v>1.9239999999999999</v>
      </c>
      <c r="O7" s="110">
        <f t="shared" si="5"/>
        <v>4.3000000000000007</v>
      </c>
      <c r="P7" s="110">
        <f t="shared" si="5"/>
        <v>3.04</v>
      </c>
    </row>
    <row r="8" spans="1:16" x14ac:dyDescent="0.3">
      <c r="A8" t="s">
        <v>368</v>
      </c>
    </row>
    <row r="10" spans="1:16" x14ac:dyDescent="0.3">
      <c r="I10" s="90"/>
      <c r="J10" s="90"/>
      <c r="K10" s="90"/>
      <c r="L10" s="90"/>
      <c r="M10" s="90"/>
      <c r="N10" s="90"/>
      <c r="O10" s="90"/>
      <c r="P10" s="90"/>
    </row>
    <row r="11" spans="1:16" x14ac:dyDescent="0.3">
      <c r="A11" s="90" t="s">
        <v>363</v>
      </c>
    </row>
    <row r="12" spans="1:16" x14ac:dyDescent="0.3">
      <c r="A12" s="65" t="s">
        <v>360</v>
      </c>
      <c r="B12" s="65"/>
      <c r="C12" s="65"/>
      <c r="D12" s="65"/>
      <c r="E12" s="65"/>
      <c r="F12" s="65"/>
      <c r="G12" s="65"/>
      <c r="H12" s="65" t="s">
        <v>253</v>
      </c>
      <c r="I12" s="65" t="s">
        <v>369</v>
      </c>
    </row>
    <row r="13" spans="1:16" x14ac:dyDescent="0.3">
      <c r="A13" s="65"/>
      <c r="B13" s="9" t="s">
        <v>247</v>
      </c>
      <c r="C13" s="9" t="s">
        <v>248</v>
      </c>
      <c r="D13" s="9" t="s">
        <v>249</v>
      </c>
      <c r="E13" s="9" t="s">
        <v>251</v>
      </c>
      <c r="F13" s="9" t="s">
        <v>250</v>
      </c>
      <c r="G13" s="9" t="s">
        <v>252</v>
      </c>
      <c r="H13" s="9" t="s">
        <v>229</v>
      </c>
      <c r="I13" s="9" t="s">
        <v>229</v>
      </c>
    </row>
    <row r="14" spans="1:16" x14ac:dyDescent="0.3">
      <c r="A14" s="65" t="s">
        <v>244</v>
      </c>
      <c r="B14" s="140">
        <v>0.53500000000000003</v>
      </c>
      <c r="C14" s="140">
        <v>0.53500000000000003</v>
      </c>
      <c r="D14" s="140">
        <v>0.53500000000000003</v>
      </c>
      <c r="E14" s="140">
        <v>0.68799999999999994</v>
      </c>
      <c r="F14" s="140">
        <v>0.61</v>
      </c>
      <c r="G14" s="140">
        <v>0.68799999999999994</v>
      </c>
      <c r="H14" s="62">
        <v>6.2</v>
      </c>
      <c r="I14" s="62"/>
    </row>
    <row r="15" spans="1:16" x14ac:dyDescent="0.3">
      <c r="A15" s="65" t="s">
        <v>245</v>
      </c>
      <c r="B15" s="140">
        <v>0.46500000000000002</v>
      </c>
      <c r="C15" s="140">
        <v>0.46500000000000002</v>
      </c>
      <c r="D15" s="140">
        <v>0.46500000000000002</v>
      </c>
      <c r="E15" s="140">
        <f>0.02+0.055+0.195+0.04</f>
        <v>0.31</v>
      </c>
      <c r="F15" s="140">
        <v>0.34</v>
      </c>
      <c r="G15" s="140">
        <f>0.02+0.055+0.195+0.04</f>
        <v>0.31</v>
      </c>
      <c r="H15" s="62">
        <v>2.7</v>
      </c>
      <c r="I15" s="62"/>
    </row>
    <row r="16" spans="1:16" x14ac:dyDescent="0.3">
      <c r="A16" s="154" t="s">
        <v>246</v>
      </c>
      <c r="B16" s="140">
        <v>0</v>
      </c>
      <c r="C16" s="140">
        <v>0</v>
      </c>
      <c r="D16" s="140">
        <v>0</v>
      </c>
      <c r="E16" s="140">
        <v>2E-3</v>
      </c>
      <c r="F16" s="140">
        <v>0.01</v>
      </c>
      <c r="G16" s="140">
        <v>2E-3</v>
      </c>
      <c r="H16" s="62">
        <v>1.53</v>
      </c>
      <c r="I16" s="62"/>
    </row>
    <row r="17" spans="1:4" x14ac:dyDescent="0.3">
      <c r="B17" t="s">
        <v>273</v>
      </c>
    </row>
    <row r="18" spans="1:4" x14ac:dyDescent="0.3">
      <c r="B18" t="s">
        <v>274</v>
      </c>
    </row>
    <row r="19" spans="1:4" x14ac:dyDescent="0.3">
      <c r="A19" s="29"/>
      <c r="B19" s="29"/>
      <c r="C19" s="29"/>
    </row>
    <row r="20" spans="1:4" ht="43.2" x14ac:dyDescent="0.3">
      <c r="A20" s="171" t="s">
        <v>150</v>
      </c>
      <c r="B20" s="311" t="s">
        <v>361</v>
      </c>
      <c r="C20" s="311" t="s">
        <v>362</v>
      </c>
      <c r="D20" s="173" t="s">
        <v>147</v>
      </c>
    </row>
    <row r="21" spans="1:4" x14ac:dyDescent="0.3">
      <c r="A21" s="24" t="s">
        <v>148</v>
      </c>
      <c r="B21" s="29">
        <v>9353</v>
      </c>
      <c r="C21" s="29">
        <v>6402</v>
      </c>
      <c r="D21" s="174">
        <f>AVERAGE(C21,B21)</f>
        <v>7877.5</v>
      </c>
    </row>
    <row r="22" spans="1:4" x14ac:dyDescent="0.3">
      <c r="A22" s="25" t="s">
        <v>149</v>
      </c>
      <c r="B22" s="31">
        <v>200</v>
      </c>
      <c r="C22" s="31">
        <v>268</v>
      </c>
      <c r="D22" s="175">
        <f>AVERAGE(C22,B22)</f>
        <v>234</v>
      </c>
    </row>
    <row r="23" spans="1:4" s="182" customFormat="1" x14ac:dyDescent="0.3">
      <c r="A23" s="90"/>
      <c r="B23" s="90"/>
      <c r="C23" s="90"/>
      <c r="D23" s="90"/>
    </row>
    <row r="24" spans="1:4" s="182" customFormat="1" x14ac:dyDescent="0.3">
      <c r="A24" s="171" t="s">
        <v>151</v>
      </c>
      <c r="B24" s="172" t="s">
        <v>155</v>
      </c>
      <c r="C24" s="27"/>
      <c r="D24" s="27"/>
    </row>
    <row r="25" spans="1:4" s="182" customFormat="1" x14ac:dyDescent="0.3">
      <c r="A25" s="24" t="s">
        <v>153</v>
      </c>
      <c r="B25" s="29">
        <v>779</v>
      </c>
      <c r="C25" s="29"/>
      <c r="D25" s="29"/>
    </row>
    <row r="26" spans="1:4" s="182" customFormat="1" x14ac:dyDescent="0.3">
      <c r="A26" s="24" t="s">
        <v>152</v>
      </c>
      <c r="B26" s="29">
        <v>394</v>
      </c>
      <c r="C26" s="29"/>
      <c r="D26" s="29"/>
    </row>
    <row r="27" spans="1:4" s="182" customFormat="1" x14ac:dyDescent="0.3">
      <c r="A27" s="24" t="s">
        <v>160</v>
      </c>
      <c r="B27" s="29">
        <v>0.4</v>
      </c>
      <c r="C27" s="29" t="s">
        <v>154</v>
      </c>
      <c r="D27" s="29"/>
    </row>
    <row r="28" spans="1:4" s="182" customFormat="1" x14ac:dyDescent="0.3">
      <c r="A28" s="25" t="s">
        <v>161</v>
      </c>
      <c r="B28" s="99">
        <f>B26*B27</f>
        <v>157.60000000000002</v>
      </c>
      <c r="C28" s="31"/>
      <c r="D28" s="31"/>
    </row>
    <row r="29" spans="1:4" s="182" customFormat="1" x14ac:dyDescent="0.3">
      <c r="A29"/>
      <c r="B29"/>
      <c r="C29"/>
      <c r="D29"/>
    </row>
    <row r="30" spans="1:4" s="182" customFormat="1" x14ac:dyDescent="0.3">
      <c r="A30" s="171" t="s">
        <v>146</v>
      </c>
      <c r="B30" s="172" t="s">
        <v>156</v>
      </c>
      <c r="C30" s="172" t="s">
        <v>157</v>
      </c>
      <c r="D30" s="173" t="s">
        <v>159</v>
      </c>
    </row>
    <row r="31" spans="1:4" s="182" customFormat="1" x14ac:dyDescent="0.3">
      <c r="A31" s="24" t="s">
        <v>158</v>
      </c>
      <c r="B31" s="29">
        <v>6.9</v>
      </c>
      <c r="C31" s="29">
        <v>8.3000000000000007</v>
      </c>
      <c r="D31" s="174">
        <f>AVERAGE(B31:C31)</f>
        <v>7.6000000000000005</v>
      </c>
    </row>
    <row r="32" spans="1:4" s="182" customFormat="1" x14ac:dyDescent="0.3">
      <c r="A32" s="24" t="s">
        <v>162</v>
      </c>
      <c r="B32" s="176">
        <v>0.8</v>
      </c>
      <c r="C32" s="176">
        <v>0.8</v>
      </c>
      <c r="D32" s="174">
        <f>AVERAGE(B32:C32)</f>
        <v>0.8</v>
      </c>
    </row>
    <row r="33" spans="1:9" s="182" customFormat="1" x14ac:dyDescent="0.3">
      <c r="A33" s="25" t="s">
        <v>163</v>
      </c>
      <c r="B33" s="99">
        <f>B31/B32</f>
        <v>8.625</v>
      </c>
      <c r="C33" s="99">
        <f>C31/C32</f>
        <v>10.375</v>
      </c>
      <c r="D33" s="175">
        <f>D31/D32</f>
        <v>9.5</v>
      </c>
    </row>
    <row r="34" spans="1:9" s="182" customFormat="1" x14ac:dyDescent="0.3">
      <c r="A34" s="90"/>
      <c r="B34" s="90"/>
      <c r="C34" s="90"/>
      <c r="D34" s="90"/>
    </row>
    <row r="35" spans="1:9" s="182" customFormat="1" x14ac:dyDescent="0.3">
      <c r="A35" s="160" t="s">
        <v>364</v>
      </c>
    </row>
    <row r="36" spans="1:9" s="182" customFormat="1" ht="28.8" x14ac:dyDescent="0.3">
      <c r="A36" s="167" t="s">
        <v>146</v>
      </c>
      <c r="B36" s="70" t="s">
        <v>50</v>
      </c>
      <c r="C36" s="168" t="s">
        <v>239</v>
      </c>
      <c r="D36" s="168" t="s">
        <v>240</v>
      </c>
      <c r="E36" s="168" t="s">
        <v>241</v>
      </c>
      <c r="F36" s="168" t="s">
        <v>242</v>
      </c>
      <c r="G36" s="312" t="s">
        <v>243</v>
      </c>
    </row>
    <row r="37" spans="1:9" s="182" customFormat="1" x14ac:dyDescent="0.3">
      <c r="A37" s="24" t="s">
        <v>145</v>
      </c>
      <c r="B37" s="169">
        <f>B38*B14/H14+B38*B15/H15+B38*B16/H16</f>
        <v>6.0491935483870975E-2</v>
      </c>
      <c r="C37" s="169">
        <f>C38*C14/H14+C38*C15/H15+C38*C16/H16</f>
        <v>1.2777999517857466</v>
      </c>
      <c r="D37" s="169">
        <f>D38*D14/H14+D38*D15/H15+D38*D16/H16</f>
        <v>2.4558691756272402</v>
      </c>
      <c r="E37" s="313">
        <v>0.46</v>
      </c>
      <c r="F37" s="313">
        <v>0.98</v>
      </c>
      <c r="G37" s="314">
        <v>0.73</v>
      </c>
      <c r="H37" s="182" t="s">
        <v>366</v>
      </c>
    </row>
    <row r="38" spans="1:9" s="182" customFormat="1" x14ac:dyDescent="0.3">
      <c r="A38" s="24" t="s">
        <v>144</v>
      </c>
      <c r="B38" s="170">
        <f>D22/1000</f>
        <v>0.23400000000000001</v>
      </c>
      <c r="C38" s="170">
        <f>B25/B28</f>
        <v>4.9428934010152279</v>
      </c>
      <c r="D38" s="170">
        <f>D33</f>
        <v>9.5</v>
      </c>
      <c r="E38" s="177"/>
      <c r="F38" s="177"/>
      <c r="G38" s="178"/>
    </row>
    <row r="39" spans="1:9" s="182" customFormat="1" x14ac:dyDescent="0.3">
      <c r="A39" s="545" t="s">
        <v>605</v>
      </c>
      <c r="B39" s="546"/>
      <c r="C39" s="546">
        <f>(C37*'Calcul R84'!N197+'besoin alim animale'!D37*'Calcul R84'!N212+'besoin alim animale'!E37*'Calcul R84'!N207+'besoin alim animale'!F37*'Calcul R84'!N202)/('Calcul R84'!N197+'Calcul R84'!N202+'Calcul R84'!N207+'Calcul R84'!N212)</f>
        <v>0.97937802659053719</v>
      </c>
      <c r="D39" s="170"/>
      <c r="E39" s="177"/>
      <c r="F39" s="177"/>
      <c r="G39" s="177"/>
    </row>
    <row r="40" spans="1:9" s="182" customFormat="1" x14ac:dyDescent="0.3">
      <c r="A40" s="90"/>
      <c r="B40" s="90"/>
      <c r="C40" s="90"/>
      <c r="D40" s="90"/>
      <c r="I40" t="s">
        <v>142</v>
      </c>
    </row>
    <row r="41" spans="1:9" x14ac:dyDescent="0.3">
      <c r="A41" s="160" t="s">
        <v>365</v>
      </c>
      <c r="B41" s="29"/>
      <c r="C41" s="29"/>
      <c r="I41" t="s">
        <v>367</v>
      </c>
    </row>
    <row r="42" spans="1:9" x14ac:dyDescent="0.3">
      <c r="A42" s="65" t="s">
        <v>337</v>
      </c>
      <c r="B42" s="65" t="s">
        <v>403</v>
      </c>
      <c r="C42" s="65" t="s">
        <v>342</v>
      </c>
    </row>
    <row r="43" spans="1:9" x14ac:dyDescent="0.3">
      <c r="A43" s="65" t="s">
        <v>339</v>
      </c>
      <c r="B43" s="305">
        <v>161444</v>
      </c>
      <c r="C43" s="284">
        <f>B43/(B43+B44)</f>
        <v>0.18229118443427225</v>
      </c>
    </row>
    <row r="44" spans="1:9" x14ac:dyDescent="0.3">
      <c r="A44" s="65" t="s">
        <v>338</v>
      </c>
      <c r="B44" s="305">
        <v>724194</v>
      </c>
      <c r="C44" s="284">
        <f>B44/(B43+B44)</f>
        <v>0.81770881556572772</v>
      </c>
    </row>
    <row r="45" spans="1:9" x14ac:dyDescent="0.3">
      <c r="A45" s="65" t="s">
        <v>340</v>
      </c>
      <c r="B45" s="305">
        <v>6603652</v>
      </c>
      <c r="C45" s="284">
        <f>B45/(B45+B46)</f>
        <v>0.85204839797040766</v>
      </c>
    </row>
    <row r="46" spans="1:9" x14ac:dyDescent="0.3">
      <c r="A46" s="65" t="s">
        <v>341</v>
      </c>
      <c r="B46" s="305">
        <v>1146673</v>
      </c>
      <c r="C46" s="284">
        <f>B46/(B45+B46)</f>
        <v>0.14795160202959232</v>
      </c>
    </row>
    <row r="48" spans="1:9" x14ac:dyDescent="0.3">
      <c r="A48" t="s">
        <v>353</v>
      </c>
    </row>
    <row r="49" spans="1:8" x14ac:dyDescent="0.3">
      <c r="A49" t="s">
        <v>349</v>
      </c>
      <c r="B49" t="s">
        <v>345</v>
      </c>
      <c r="C49" t="s">
        <v>350</v>
      </c>
      <c r="D49" t="s">
        <v>351</v>
      </c>
      <c r="E49" t="s">
        <v>346</v>
      </c>
      <c r="F49" t="s">
        <v>352</v>
      </c>
    </row>
    <row r="50" spans="1:8" x14ac:dyDescent="0.3">
      <c r="A50" t="s">
        <v>343</v>
      </c>
      <c r="B50">
        <v>7997</v>
      </c>
      <c r="C50">
        <v>7577</v>
      </c>
      <c r="D50">
        <v>8430</v>
      </c>
      <c r="E50">
        <v>7475</v>
      </c>
      <c r="F50">
        <v>6816</v>
      </c>
    </row>
    <row r="51" spans="1:8" x14ac:dyDescent="0.3">
      <c r="A51" t="s">
        <v>344</v>
      </c>
      <c r="B51">
        <v>200</v>
      </c>
      <c r="C51">
        <v>218</v>
      </c>
      <c r="D51">
        <v>239</v>
      </c>
      <c r="E51">
        <v>268</v>
      </c>
      <c r="F51">
        <v>271</v>
      </c>
    </row>
    <row r="52" spans="1:8" x14ac:dyDescent="0.3">
      <c r="A52" t="s">
        <v>347</v>
      </c>
      <c r="B52" s="304" t="s">
        <v>354</v>
      </c>
      <c r="C52" s="304"/>
    </row>
    <row r="53" spans="1:8" x14ac:dyDescent="0.3">
      <c r="A53" t="s">
        <v>348</v>
      </c>
      <c r="B53" s="304" t="s">
        <v>354</v>
      </c>
      <c r="C53" s="304"/>
    </row>
    <row r="54" spans="1:8" x14ac:dyDescent="0.3">
      <c r="A54" t="s">
        <v>358</v>
      </c>
      <c r="B54">
        <v>31</v>
      </c>
      <c r="C54" s="306"/>
      <c r="D54" s="306"/>
      <c r="E54">
        <v>12</v>
      </c>
      <c r="F54" s="306"/>
      <c r="H54" t="s">
        <v>357</v>
      </c>
    </row>
    <row r="55" spans="1:8" x14ac:dyDescent="0.3">
      <c r="A55" t="s">
        <v>355</v>
      </c>
    </row>
    <row r="56" spans="1:8" x14ac:dyDescent="0.3">
      <c r="A56" t="s">
        <v>356</v>
      </c>
      <c r="B56">
        <v>9353</v>
      </c>
      <c r="C56" s="306"/>
      <c r="D56" s="306"/>
      <c r="E56">
        <v>6402</v>
      </c>
      <c r="F56" s="306"/>
    </row>
    <row r="57" spans="1:8" x14ac:dyDescent="0.3">
      <c r="A57" t="s">
        <v>359</v>
      </c>
      <c r="B57">
        <f>B54*1000/(B56*100)</f>
        <v>3.3144445632417405E-2</v>
      </c>
      <c r="E57">
        <f>E54*1000/(E56*100)</f>
        <v>1.874414245548266E-2</v>
      </c>
    </row>
  </sheetData>
  <sheetProtection password="D6AD" sheet="1" objects="1" scenarios="1" selectLockedCells="1" selectUnlockedCells="1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zoomScale="90" zoomScaleNormal="90" workbookViewId="0">
      <selection activeCell="A14" sqref="A14:B15"/>
    </sheetView>
  </sheetViews>
  <sheetFormatPr baseColWidth="10" defaultRowHeight="14.4" x14ac:dyDescent="0.3"/>
  <cols>
    <col min="1" max="1" width="24.6640625" bestFit="1" customWidth="1"/>
  </cols>
  <sheetData>
    <row r="1" spans="1:9" x14ac:dyDescent="0.3">
      <c r="A1" s="65"/>
      <c r="B1" s="65" t="s">
        <v>67</v>
      </c>
      <c r="C1" s="65" t="s">
        <v>66</v>
      </c>
      <c r="E1" s="27" t="s">
        <v>168</v>
      </c>
      <c r="G1" s="27"/>
      <c r="H1" s="27"/>
      <c r="I1" s="126"/>
    </row>
    <row r="2" spans="1:9" x14ac:dyDescent="0.3">
      <c r="A2" s="65" t="s">
        <v>70</v>
      </c>
      <c r="B2" s="62">
        <v>0.39</v>
      </c>
      <c r="C2" s="62">
        <v>0.56999999999999995</v>
      </c>
      <c r="E2" s="28" t="s">
        <v>22</v>
      </c>
      <c r="F2" s="29">
        <f>3.6+2.5</f>
        <v>6.1</v>
      </c>
      <c r="G2" s="29"/>
      <c r="H2" s="29"/>
      <c r="I2" s="127"/>
    </row>
    <row r="3" spans="1:9" x14ac:dyDescent="0.3">
      <c r="A3" s="65" t="s">
        <v>69</v>
      </c>
      <c r="B3" s="62">
        <v>0.92</v>
      </c>
      <c r="C3" s="62">
        <v>0.91500000000000004</v>
      </c>
      <c r="E3" s="28" t="s">
        <v>165</v>
      </c>
      <c r="F3" s="29">
        <v>2.5</v>
      </c>
      <c r="G3" s="29"/>
      <c r="H3" s="29"/>
      <c r="I3" s="127"/>
    </row>
    <row r="4" spans="1:9" x14ac:dyDescent="0.3">
      <c r="A4" s="65" t="s">
        <v>71</v>
      </c>
      <c r="B4" s="66">
        <f>B3*B2</f>
        <v>0.35880000000000001</v>
      </c>
      <c r="C4" s="66">
        <f>C3*C2</f>
        <v>0.52154999999999996</v>
      </c>
      <c r="E4" s="28" t="s">
        <v>166</v>
      </c>
      <c r="F4" s="128">
        <f>F3/F2</f>
        <v>0.4098360655737705</v>
      </c>
      <c r="G4" s="29"/>
      <c r="H4" s="29"/>
      <c r="I4" s="127"/>
    </row>
    <row r="5" spans="1:9" x14ac:dyDescent="0.3">
      <c r="E5" s="30" t="s">
        <v>167</v>
      </c>
      <c r="F5" s="31"/>
      <c r="G5" s="31"/>
      <c r="H5" s="31"/>
      <c r="I5" s="55"/>
    </row>
    <row r="6" spans="1:9" x14ac:dyDescent="0.3">
      <c r="A6" s="114" t="s">
        <v>235</v>
      </c>
      <c r="B6" s="125"/>
      <c r="C6" s="125"/>
      <c r="D6" s="129">
        <v>0.43</v>
      </c>
      <c r="E6" s="31" t="s">
        <v>254</v>
      </c>
      <c r="F6" s="55"/>
    </row>
    <row r="7" spans="1:9" x14ac:dyDescent="0.3">
      <c r="A7" s="114" t="s">
        <v>236</v>
      </c>
      <c r="B7" s="125"/>
      <c r="C7" s="125"/>
      <c r="D7" s="129">
        <v>0.45</v>
      </c>
      <c r="E7" s="31" t="s">
        <v>254</v>
      </c>
      <c r="F7" s="55"/>
    </row>
    <row r="8" spans="1:9" x14ac:dyDescent="0.3">
      <c r="A8" s="114" t="s">
        <v>237</v>
      </c>
      <c r="B8" s="125"/>
      <c r="C8" s="125"/>
      <c r="D8" s="129">
        <v>0.21</v>
      </c>
      <c r="E8" s="31" t="s">
        <v>254</v>
      </c>
    </row>
    <row r="9" spans="1:9" x14ac:dyDescent="0.3">
      <c r="A9" t="s">
        <v>164</v>
      </c>
    </row>
    <row r="10" spans="1:9" x14ac:dyDescent="0.3">
      <c r="A10" t="s">
        <v>169</v>
      </c>
    </row>
    <row r="14" spans="1:9" x14ac:dyDescent="0.3">
      <c r="A14" s="152"/>
      <c r="B14" s="152"/>
    </row>
    <row r="15" spans="1:9" x14ac:dyDescent="0.3">
      <c r="A15" s="152"/>
      <c r="B15" s="152"/>
    </row>
  </sheetData>
  <sheetProtection password="D6AD" sheet="1" objects="1" scenarios="1" selectLockedCells="1" selectUnlockedCells="1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10"/>
  <sheetViews>
    <sheetView showGridLines="0" zoomScale="80" zoomScaleNormal="80" workbookViewId="0">
      <selection activeCell="D6" sqref="D6"/>
    </sheetView>
  </sheetViews>
  <sheetFormatPr baseColWidth="10" defaultRowHeight="14.4" x14ac:dyDescent="0.3"/>
  <cols>
    <col min="1" max="1" width="31.5546875" bestFit="1" customWidth="1"/>
    <col min="2" max="2" width="7.44140625" bestFit="1" customWidth="1"/>
    <col min="3" max="15" width="6.109375" bestFit="1" customWidth="1"/>
    <col min="16" max="21" width="5.44140625" bestFit="1" customWidth="1"/>
    <col min="22" max="23" width="8.109375" bestFit="1" customWidth="1"/>
    <col min="24" max="28" width="9.6640625" bestFit="1" customWidth="1"/>
    <col min="29" max="29" width="16" bestFit="1" customWidth="1"/>
  </cols>
  <sheetData>
    <row r="1" spans="1:23" ht="28.8" customHeight="1" x14ac:dyDescent="0.3">
      <c r="A1" s="578" t="s">
        <v>535</v>
      </c>
      <c r="B1" s="579"/>
      <c r="C1" s="579"/>
      <c r="D1" s="579"/>
      <c r="J1" s="574" t="s">
        <v>528</v>
      </c>
      <c r="K1" s="575"/>
      <c r="L1" s="575"/>
      <c r="M1" s="575"/>
      <c r="N1" s="575"/>
      <c r="O1" s="575"/>
      <c r="P1" s="575"/>
      <c r="Q1" s="575"/>
      <c r="R1" s="575"/>
      <c r="S1" s="575"/>
      <c r="T1" s="575"/>
      <c r="U1" s="575"/>
      <c r="V1" s="575"/>
      <c r="W1" s="576"/>
    </row>
    <row r="2" spans="1:23" x14ac:dyDescent="0.3">
      <c r="A2" s="394" t="s">
        <v>56</v>
      </c>
      <c r="B2" s="395">
        <v>0.05</v>
      </c>
      <c r="J2" s="588" t="s">
        <v>56</v>
      </c>
      <c r="K2" s="588"/>
      <c r="L2" s="588"/>
      <c r="M2" s="396">
        <v>0.05</v>
      </c>
    </row>
    <row r="3" spans="1:23" x14ac:dyDescent="0.3">
      <c r="A3" s="383" t="s">
        <v>532</v>
      </c>
      <c r="B3" s="191">
        <v>0</v>
      </c>
      <c r="J3" s="589" t="s">
        <v>114</v>
      </c>
      <c r="K3" s="589"/>
      <c r="L3" s="589"/>
      <c r="M3" s="397">
        <v>0</v>
      </c>
    </row>
    <row r="4" spans="1:23" x14ac:dyDescent="0.3">
      <c r="A4" s="384" t="s">
        <v>113</v>
      </c>
      <c r="B4" s="81">
        <v>0.1</v>
      </c>
      <c r="D4" s="580" t="s">
        <v>382</v>
      </c>
      <c r="E4" s="581"/>
      <c r="F4" s="581"/>
      <c r="G4" s="581"/>
      <c r="H4" s="582"/>
      <c r="J4" s="590" t="s">
        <v>113</v>
      </c>
      <c r="K4" s="590"/>
      <c r="L4" s="590"/>
      <c r="M4" s="256">
        <v>0.1</v>
      </c>
      <c r="N4" s="80"/>
      <c r="S4" s="182"/>
    </row>
    <row r="5" spans="1:23" x14ac:dyDescent="0.3">
      <c r="A5" s="385" t="s">
        <v>525</v>
      </c>
      <c r="B5" s="81">
        <v>0.05</v>
      </c>
      <c r="D5" s="583"/>
      <c r="E5" s="584"/>
      <c r="F5" s="584"/>
      <c r="G5" s="584"/>
      <c r="H5" s="585"/>
      <c r="J5" s="586" t="s">
        <v>525</v>
      </c>
      <c r="K5" s="586"/>
      <c r="L5" s="586"/>
      <c r="M5" s="256">
        <v>0.05</v>
      </c>
      <c r="S5" s="182"/>
    </row>
    <row r="6" spans="1:23" x14ac:dyDescent="0.3">
      <c r="A6" s="385" t="s">
        <v>107</v>
      </c>
      <c r="B6" s="81">
        <v>0</v>
      </c>
      <c r="J6" s="586" t="s">
        <v>107</v>
      </c>
      <c r="K6" s="586"/>
      <c r="L6" s="586"/>
      <c r="M6" s="256">
        <v>0</v>
      </c>
    </row>
    <row r="7" spans="1:23" x14ac:dyDescent="0.3">
      <c r="A7" s="386" t="s">
        <v>89</v>
      </c>
      <c r="B7" s="81">
        <v>0.05</v>
      </c>
      <c r="J7" s="587" t="s">
        <v>89</v>
      </c>
      <c r="K7" s="587"/>
      <c r="L7" s="587"/>
      <c r="M7" s="256">
        <v>0.05</v>
      </c>
    </row>
    <row r="8" spans="1:23" x14ac:dyDescent="0.3">
      <c r="A8" s="387" t="s">
        <v>284</v>
      </c>
      <c r="B8" s="81">
        <v>-0.1</v>
      </c>
      <c r="J8" s="577" t="s">
        <v>284</v>
      </c>
      <c r="K8" s="577"/>
      <c r="L8" s="577"/>
      <c r="M8" s="256">
        <v>-0.1</v>
      </c>
    </row>
    <row r="9" spans="1:23" x14ac:dyDescent="0.3">
      <c r="A9" s="387" t="s">
        <v>285</v>
      </c>
      <c r="B9" s="81">
        <v>-0.05</v>
      </c>
      <c r="J9" s="577" t="s">
        <v>285</v>
      </c>
      <c r="K9" s="577"/>
      <c r="L9" s="577"/>
      <c r="M9" s="256">
        <v>-0.05</v>
      </c>
    </row>
    <row r="10" spans="1:23" x14ac:dyDescent="0.3">
      <c r="A10" s="387" t="s">
        <v>19</v>
      </c>
      <c r="B10" s="81">
        <v>-0.02</v>
      </c>
      <c r="J10" s="577" t="s">
        <v>19</v>
      </c>
      <c r="K10" s="577"/>
      <c r="L10" s="577"/>
      <c r="M10" s="256">
        <v>-0.02</v>
      </c>
    </row>
    <row r="11" spans="1:23" x14ac:dyDescent="0.3">
      <c r="A11" s="387" t="s">
        <v>116</v>
      </c>
      <c r="B11" s="81">
        <v>-0.1</v>
      </c>
      <c r="J11" s="577" t="s">
        <v>116</v>
      </c>
      <c r="K11" s="577"/>
      <c r="L11" s="577"/>
      <c r="M11" s="256">
        <v>-0.1</v>
      </c>
    </row>
    <row r="37" spans="1:30" x14ac:dyDescent="0.3">
      <c r="A37" t="s">
        <v>446</v>
      </c>
    </row>
    <row r="38" spans="1:30" x14ac:dyDescent="0.3">
      <c r="A38" t="s">
        <v>448</v>
      </c>
    </row>
    <row r="39" spans="1:30" x14ac:dyDescent="0.3">
      <c r="S39" s="1"/>
      <c r="T39" s="1"/>
    </row>
    <row r="40" spans="1:30" x14ac:dyDescent="0.3">
      <c r="A40" s="106" t="s">
        <v>278</v>
      </c>
      <c r="B40" s="572" t="s">
        <v>386</v>
      </c>
      <c r="C40" s="573"/>
      <c r="D40" s="75"/>
      <c r="F40" s="75"/>
      <c r="G40" s="29"/>
      <c r="H40" s="157"/>
      <c r="I40" s="85"/>
      <c r="J40" s="158"/>
      <c r="K40" s="158"/>
      <c r="L40" s="158"/>
      <c r="M40" s="158"/>
      <c r="N40" s="158"/>
      <c r="O40" s="90"/>
      <c r="P40" s="158"/>
      <c r="Q40" s="158"/>
      <c r="R40" s="158"/>
      <c r="S40" s="1"/>
      <c r="T40" s="1"/>
      <c r="V40" s="9">
        <v>2030</v>
      </c>
      <c r="W40" s="9">
        <v>2030</v>
      </c>
      <c r="X40" s="9" t="s">
        <v>147</v>
      </c>
      <c r="Y40" s="9" t="s">
        <v>147</v>
      </c>
      <c r="Z40" s="9" t="s">
        <v>147</v>
      </c>
      <c r="AA40" s="9" t="s">
        <v>377</v>
      </c>
      <c r="AB40" s="9" t="s">
        <v>378</v>
      </c>
    </row>
    <row r="41" spans="1:30" x14ac:dyDescent="0.3">
      <c r="A41" s="207"/>
      <c r="B41" s="117">
        <v>2010</v>
      </c>
      <c r="C41" s="117">
        <v>2011</v>
      </c>
      <c r="D41" s="117">
        <v>2012</v>
      </c>
      <c r="E41" s="117">
        <v>2013</v>
      </c>
      <c r="F41" s="117">
        <v>2014</v>
      </c>
      <c r="G41" s="117">
        <v>2015</v>
      </c>
      <c r="H41" s="117">
        <v>2016</v>
      </c>
      <c r="I41" s="117">
        <v>2017</v>
      </c>
      <c r="J41" s="117">
        <v>2018</v>
      </c>
      <c r="K41" s="117">
        <v>2019</v>
      </c>
      <c r="L41" s="117">
        <v>2020</v>
      </c>
      <c r="M41" s="117">
        <v>2021</v>
      </c>
      <c r="N41" s="117">
        <v>2022</v>
      </c>
      <c r="O41" s="117">
        <v>2023</v>
      </c>
      <c r="P41" s="117">
        <v>2024</v>
      </c>
      <c r="Q41" s="117">
        <v>2025</v>
      </c>
      <c r="R41" s="117">
        <v>2026</v>
      </c>
      <c r="S41" s="117">
        <v>2027</v>
      </c>
      <c r="T41" s="117">
        <v>2028</v>
      </c>
      <c r="U41" s="119">
        <v>2029</v>
      </c>
      <c r="V41" s="119" t="s">
        <v>526</v>
      </c>
      <c r="W41" s="117" t="s">
        <v>527</v>
      </c>
      <c r="X41" s="9" t="s">
        <v>277</v>
      </c>
      <c r="Y41" s="9" t="s">
        <v>370</v>
      </c>
      <c r="Z41" s="9" t="s">
        <v>229</v>
      </c>
      <c r="AA41" s="9" t="s">
        <v>229</v>
      </c>
      <c r="AB41" s="9" t="s">
        <v>229</v>
      </c>
      <c r="AC41" s="65" t="s">
        <v>118</v>
      </c>
      <c r="AD41" s="71" t="s">
        <v>385</v>
      </c>
    </row>
    <row r="42" spans="1:30" x14ac:dyDescent="0.3">
      <c r="A42" s="390" t="s">
        <v>1</v>
      </c>
      <c r="B42" s="107">
        <f>'Calcul R84'!C3</f>
        <v>92.9</v>
      </c>
      <c r="C42" s="107">
        <f>'Calcul R84'!D3</f>
        <v>92.6</v>
      </c>
      <c r="D42" s="107">
        <f>'Calcul R84'!E3</f>
        <v>91.9</v>
      </c>
      <c r="E42" s="107">
        <f>'Calcul R84'!F3</f>
        <v>91.4</v>
      </c>
      <c r="F42" s="107">
        <f>'Calcul R84'!G3</f>
        <v>93.9</v>
      </c>
      <c r="G42" s="107">
        <f>'Calcul R84'!H3</f>
        <v>90.9</v>
      </c>
      <c r="H42" s="107">
        <f>'Calcul R84'!I3</f>
        <v>90.7</v>
      </c>
      <c r="I42" s="107">
        <f>'Calcul R84'!J3</f>
        <v>91.6</v>
      </c>
      <c r="J42" s="107">
        <f>'Calcul R84'!K3</f>
        <v>90.3</v>
      </c>
      <c r="K42" s="107">
        <f>'Calcul R84'!L3</f>
        <v>89.7</v>
      </c>
      <c r="L42" s="107">
        <f>'Calcul R84'!M3</f>
        <v>89.7</v>
      </c>
      <c r="M42" s="107">
        <f>'Calcul R84'!N3</f>
        <v>92.8</v>
      </c>
      <c r="N42" s="107">
        <f>'Calcul R84'!O3</f>
        <v>92</v>
      </c>
      <c r="O42" s="107">
        <f>'Calcul R84'!P3</f>
        <v>91.875</v>
      </c>
      <c r="P42" s="107"/>
      <c r="Q42" s="107"/>
      <c r="R42" s="107"/>
      <c r="S42" s="107"/>
      <c r="T42" s="107"/>
      <c r="U42" s="107"/>
      <c r="V42" s="107">
        <f>'Calcul R84'!W3</f>
        <v>91</v>
      </c>
      <c r="W42" s="107">
        <f>'Calcul R84'!X3</f>
        <v>95.55</v>
      </c>
      <c r="X42" s="107">
        <f>AVERAGE(B42:F42)</f>
        <v>92.539999999999992</v>
      </c>
      <c r="Y42" s="189">
        <f>AVERAGE(F42:J42)</f>
        <v>91.48</v>
      </c>
      <c r="Z42" s="107">
        <f>AVERAGE(J42:N42)</f>
        <v>90.9</v>
      </c>
      <c r="AA42" s="138">
        <f t="shared" ref="AA42:AA76" si="0">V42/AVERAGE(J42:N42)-1</f>
        <v>1.1001100110010764E-3</v>
      </c>
      <c r="AB42" s="138">
        <f t="shared" ref="AB42:AB76" si="1">W42/AVERAGE(J42:N42)-1</f>
        <v>5.1155115511551053E-2</v>
      </c>
      <c r="AC42" s="65" t="s">
        <v>281</v>
      </c>
    </row>
    <row r="43" spans="1:30" x14ac:dyDescent="0.3">
      <c r="A43" s="390" t="s">
        <v>4</v>
      </c>
      <c r="B43" s="107">
        <f>'Calcul R84'!C4</f>
        <v>15.2</v>
      </c>
      <c r="C43" s="107">
        <f>'Calcul R84'!D4</f>
        <v>15.5</v>
      </c>
      <c r="D43" s="107">
        <f>'Calcul R84'!E4</f>
        <v>15.2</v>
      </c>
      <c r="E43" s="107">
        <f>'Calcul R84'!F4</f>
        <v>16</v>
      </c>
      <c r="F43" s="107">
        <f>'Calcul R84'!G4</f>
        <v>15.8</v>
      </c>
      <c r="G43" s="107">
        <f>'Calcul R84'!H4</f>
        <v>15.8</v>
      </c>
      <c r="H43" s="107">
        <f>'Calcul R84'!I4</f>
        <v>15.6</v>
      </c>
      <c r="I43" s="107">
        <f>'Calcul R84'!J4</f>
        <v>16.3</v>
      </c>
      <c r="J43" s="107">
        <f>'Calcul R84'!K4</f>
        <v>16.399999999999999</v>
      </c>
      <c r="K43" s="107">
        <f>'Calcul R84'!L4</f>
        <v>13.8</v>
      </c>
      <c r="L43" s="107">
        <f>'Calcul R84'!M4</f>
        <v>16.2</v>
      </c>
      <c r="M43" s="107">
        <f>'Calcul R84'!N4</f>
        <v>16.7</v>
      </c>
      <c r="N43" s="107">
        <f>'Calcul R84'!O4</f>
        <v>16.7</v>
      </c>
      <c r="O43" s="107">
        <f>'Calcul R84'!P4</f>
        <v>16.712499999999999</v>
      </c>
      <c r="P43" s="107"/>
      <c r="Q43" s="107"/>
      <c r="R43" s="107"/>
      <c r="S43" s="107"/>
      <c r="T43" s="107"/>
      <c r="U43" s="107"/>
      <c r="V43" s="107">
        <f>'Calcul R84'!W4</f>
        <v>16.8</v>
      </c>
      <c r="W43" s="107">
        <f>'Calcul R84'!X4</f>
        <v>17.64</v>
      </c>
      <c r="X43" s="107">
        <f t="shared" ref="X43:X71" si="2">AVERAGE(B43:F43)</f>
        <v>15.540000000000001</v>
      </c>
      <c r="Y43" s="189">
        <f t="shared" ref="Y43:Y71" si="3">AVERAGE(F43:J43)</f>
        <v>15.98</v>
      </c>
      <c r="Z43" s="107">
        <f t="shared" ref="Z43:Z71" si="4">AVERAGE(J43:N43)</f>
        <v>15.959999999999999</v>
      </c>
      <c r="AA43" s="138">
        <f t="shared" si="0"/>
        <v>5.2631578947368585E-2</v>
      </c>
      <c r="AB43" s="138">
        <f t="shared" si="1"/>
        <v>0.10526315789473695</v>
      </c>
      <c r="AC43" s="65" t="s">
        <v>281</v>
      </c>
    </row>
    <row r="44" spans="1:30" x14ac:dyDescent="0.3">
      <c r="A44" s="390" t="s">
        <v>84</v>
      </c>
      <c r="B44" s="107">
        <f>'Calcul R84'!C5</f>
        <v>5.4</v>
      </c>
      <c r="C44" s="107">
        <f>'Calcul R84'!D5</f>
        <v>5.6</v>
      </c>
      <c r="D44" s="107">
        <f>'Calcul R84'!E5</f>
        <v>5.6</v>
      </c>
      <c r="E44" s="107">
        <f>'Calcul R84'!F5</f>
        <v>6.1</v>
      </c>
      <c r="F44" s="107">
        <f>'Calcul R84'!G5</f>
        <v>8.6999999999999993</v>
      </c>
      <c r="G44" s="107">
        <f>'Calcul R84'!H5</f>
        <v>6.3</v>
      </c>
      <c r="H44" s="107">
        <f>'Calcul R84'!I5</f>
        <v>7.2</v>
      </c>
      <c r="I44" s="107">
        <f>'Calcul R84'!J5</f>
        <v>7.6</v>
      </c>
      <c r="J44" s="107">
        <f>'Calcul R84'!K5</f>
        <v>13.2</v>
      </c>
      <c r="K44" s="107">
        <f>'Calcul R84'!L5</f>
        <v>15.9</v>
      </c>
      <c r="L44" s="107">
        <f>'Calcul R84'!M5</f>
        <v>14.9</v>
      </c>
      <c r="M44" s="107">
        <f>'Calcul R84'!N5</f>
        <v>6.8</v>
      </c>
      <c r="N44" s="107">
        <f>'Calcul R84'!O5</f>
        <v>8</v>
      </c>
      <c r="O44" s="107">
        <f>'Calcul R84'!P5</f>
        <v>8.125</v>
      </c>
      <c r="P44" s="107"/>
      <c r="Q44" s="107"/>
      <c r="R44" s="107"/>
      <c r="S44" s="107"/>
      <c r="T44" s="107"/>
      <c r="U44" s="107"/>
      <c r="V44" s="107">
        <f>'Calcul R84'!W5</f>
        <v>9</v>
      </c>
      <c r="W44" s="107">
        <f>'Calcul R84'!X5</f>
        <v>9.4500000000000011</v>
      </c>
      <c r="X44" s="107">
        <f t="shared" si="2"/>
        <v>6.28</v>
      </c>
      <c r="Y44" s="189">
        <f t="shared" si="3"/>
        <v>8.6</v>
      </c>
      <c r="Z44" s="107">
        <f t="shared" si="4"/>
        <v>11.76</v>
      </c>
      <c r="AA44" s="138">
        <f t="shared" si="0"/>
        <v>-0.23469387755102045</v>
      </c>
      <c r="AB44" s="138">
        <f t="shared" si="1"/>
        <v>-0.19642857142857129</v>
      </c>
      <c r="AC44" s="65" t="s">
        <v>281</v>
      </c>
    </row>
    <row r="45" spans="1:30" x14ac:dyDescent="0.3">
      <c r="A45" s="390" t="s">
        <v>104</v>
      </c>
      <c r="B45" s="107">
        <f>'Calcul R84'!C6</f>
        <v>3.1</v>
      </c>
      <c r="C45" s="107">
        <f>'Calcul R84'!D6</f>
        <v>2</v>
      </c>
      <c r="D45" s="107">
        <f>'Calcul R84'!E6</f>
        <v>2.7</v>
      </c>
      <c r="E45" s="107">
        <f>'Calcul R84'!F6</f>
        <v>2.2000000000000002</v>
      </c>
      <c r="F45" s="107">
        <f>'Calcul R84'!G6</f>
        <v>1</v>
      </c>
      <c r="G45" s="107">
        <f>'Calcul R84'!H6</f>
        <v>2.5</v>
      </c>
      <c r="H45" s="107">
        <f>'Calcul R84'!I6</f>
        <v>2.5</v>
      </c>
      <c r="I45" s="107">
        <f>'Calcul R84'!J6</f>
        <v>2.5</v>
      </c>
      <c r="J45" s="107">
        <f>'Calcul R84'!K6</f>
        <v>2.5</v>
      </c>
      <c r="K45" s="107">
        <f>'Calcul R84'!L6</f>
        <v>2.5</v>
      </c>
      <c r="L45" s="107">
        <f>'Calcul R84'!M6</f>
        <v>2.5</v>
      </c>
      <c r="M45" s="107">
        <f>'Calcul R84'!N6</f>
        <v>2.5</v>
      </c>
      <c r="N45" s="107">
        <f>'Calcul R84'!O6</f>
        <v>2.5</v>
      </c>
      <c r="O45" s="107">
        <f>'Calcul R84'!P6</f>
        <v>2.5</v>
      </c>
      <c r="P45" s="107"/>
      <c r="Q45" s="107"/>
      <c r="R45" s="107"/>
      <c r="S45" s="107"/>
      <c r="T45" s="107"/>
      <c r="U45" s="107"/>
      <c r="V45" s="107">
        <f>'Calcul R84'!W6</f>
        <v>2.5</v>
      </c>
      <c r="W45" s="107">
        <f>'Calcul R84'!X6</f>
        <v>2.5</v>
      </c>
      <c r="X45" s="107">
        <f t="shared" si="2"/>
        <v>2.2000000000000002</v>
      </c>
      <c r="Y45" s="189">
        <f t="shared" si="3"/>
        <v>2.2000000000000002</v>
      </c>
      <c r="Z45" s="107">
        <f t="shared" si="4"/>
        <v>2.5</v>
      </c>
      <c r="AA45" s="138">
        <f t="shared" si="0"/>
        <v>0</v>
      </c>
      <c r="AB45" s="138">
        <f t="shared" si="1"/>
        <v>0</v>
      </c>
      <c r="AC45" s="65" t="s">
        <v>281</v>
      </c>
    </row>
    <row r="46" spans="1:30" x14ac:dyDescent="0.3">
      <c r="A46" s="390" t="s">
        <v>105</v>
      </c>
      <c r="B46" s="107">
        <f>'Calcul R84'!C7</f>
        <v>3.9</v>
      </c>
      <c r="C46" s="107">
        <f>'Calcul R84'!D7</f>
        <v>4.7</v>
      </c>
      <c r="D46" s="107">
        <f>'Calcul R84'!E7</f>
        <v>4.7</v>
      </c>
      <c r="E46" s="107">
        <f>'Calcul R84'!F7</f>
        <v>5.4</v>
      </c>
      <c r="F46" s="107">
        <f>'Calcul R84'!G7</f>
        <v>4.9000000000000004</v>
      </c>
      <c r="G46" s="107">
        <f>'Calcul R84'!H7</f>
        <v>4.9000000000000004</v>
      </c>
      <c r="H46" s="107">
        <f>'Calcul R84'!I7</f>
        <v>4.9000000000000004</v>
      </c>
      <c r="I46" s="107">
        <f>'Calcul R84'!J7</f>
        <v>4.9000000000000004</v>
      </c>
      <c r="J46" s="107">
        <f>'Calcul R84'!K7</f>
        <v>4.9000000000000004</v>
      </c>
      <c r="K46" s="107">
        <f>'Calcul R84'!L7</f>
        <v>4.9000000000000004</v>
      </c>
      <c r="L46" s="107">
        <f>'Calcul R84'!M7</f>
        <v>4.9000000000000004</v>
      </c>
      <c r="M46" s="107">
        <f>'Calcul R84'!N7</f>
        <v>4.9000000000000004</v>
      </c>
      <c r="N46" s="107">
        <f>'Calcul R84'!O7</f>
        <v>4.9000000000000004</v>
      </c>
      <c r="O46" s="107">
        <f>'Calcul R84'!P7</f>
        <v>4.9000000000000004</v>
      </c>
      <c r="P46" s="107"/>
      <c r="Q46" s="107"/>
      <c r="R46" s="107"/>
      <c r="S46" s="107"/>
      <c r="T46" s="107"/>
      <c r="U46" s="107"/>
      <c r="V46" s="107">
        <f>'Calcul R84'!W7</f>
        <v>4.9000000000000004</v>
      </c>
      <c r="W46" s="107">
        <f>'Calcul R84'!X7</f>
        <v>4.9000000000000004</v>
      </c>
      <c r="X46" s="107">
        <f t="shared" si="2"/>
        <v>4.7200000000000006</v>
      </c>
      <c r="Y46" s="189">
        <f t="shared" si="3"/>
        <v>4.9000000000000004</v>
      </c>
      <c r="Z46" s="107">
        <f t="shared" si="4"/>
        <v>4.9000000000000004</v>
      </c>
      <c r="AA46" s="138">
        <f t="shared" si="0"/>
        <v>0</v>
      </c>
      <c r="AB46" s="138">
        <f t="shared" si="1"/>
        <v>0</v>
      </c>
      <c r="AC46" s="65" t="s">
        <v>281</v>
      </c>
    </row>
    <row r="47" spans="1:30" x14ac:dyDescent="0.3">
      <c r="A47" s="390" t="s">
        <v>85</v>
      </c>
      <c r="B47" s="107">
        <f>'Calcul R84'!C8</f>
        <v>5.0753163699225254</v>
      </c>
      <c r="C47" s="107">
        <f>'Calcul R84'!D8</f>
        <v>4.6846583506604969</v>
      </c>
      <c r="D47" s="107">
        <f>'Calcul R84'!E8</f>
        <v>5.9037975782586294</v>
      </c>
      <c r="E47" s="107">
        <f>'Calcul R84'!F8</f>
        <v>5.2303423958654891</v>
      </c>
      <c r="F47" s="107">
        <f>'Calcul R84'!G8</f>
        <v>5.2475364136380929</v>
      </c>
      <c r="G47" s="107">
        <f>'Calcul R84'!H8</f>
        <v>5.7602536847218557</v>
      </c>
      <c r="H47" s="107">
        <f>'Calcul R84'!I8</f>
        <v>7.2875443064326664</v>
      </c>
      <c r="I47" s="107">
        <f>'Calcul R84'!J8</f>
        <v>7.9973607590532616</v>
      </c>
      <c r="J47" s="107">
        <f>'Calcul R84'!K8</f>
        <v>6.0680899934529773</v>
      </c>
      <c r="K47" s="107">
        <f>'Calcul R84'!L8</f>
        <v>5.8490793949027031</v>
      </c>
      <c r="L47" s="107">
        <f>'Calcul R84'!M8</f>
        <v>6.346239735697158</v>
      </c>
      <c r="M47" s="107">
        <f>'Calcul R84'!N8</f>
        <v>5.4529174731169148</v>
      </c>
      <c r="N47" s="107">
        <f>'Calcul R84'!O8</f>
        <v>5.822130790762829</v>
      </c>
      <c r="O47" s="107">
        <f>'Calcul R84'!P8</f>
        <v>5.8443644419174756</v>
      </c>
      <c r="P47" s="107"/>
      <c r="Q47" s="107"/>
      <c r="R47" s="107"/>
      <c r="S47" s="107"/>
      <c r="T47" s="107"/>
      <c r="U47" s="107"/>
      <c r="V47" s="107">
        <f>'Calcul R84'!W8</f>
        <v>6</v>
      </c>
      <c r="W47" s="107">
        <f>'Calcul R84'!X8</f>
        <v>6</v>
      </c>
      <c r="X47" s="107">
        <f t="shared" si="2"/>
        <v>5.2283302216690473</v>
      </c>
      <c r="Y47" s="189">
        <f t="shared" si="3"/>
        <v>6.4721570314597701</v>
      </c>
      <c r="Z47" s="107">
        <f t="shared" si="4"/>
        <v>5.9076914775865159</v>
      </c>
      <c r="AA47" s="138">
        <f t="shared" si="0"/>
        <v>1.5625142708230122E-2</v>
      </c>
      <c r="AB47" s="138">
        <f t="shared" si="1"/>
        <v>1.5625142708230122E-2</v>
      </c>
      <c r="AC47" s="65" t="s">
        <v>283</v>
      </c>
    </row>
    <row r="48" spans="1:30" x14ac:dyDescent="0.3">
      <c r="A48" s="391" t="s">
        <v>113</v>
      </c>
      <c r="B48" s="107">
        <f>'Calcul R84'!C9</f>
        <v>1.7</v>
      </c>
      <c r="C48" s="107">
        <f>'Calcul R84'!D9</f>
        <v>1.7</v>
      </c>
      <c r="D48" s="107">
        <f>'Calcul R84'!E9</f>
        <v>1.7</v>
      </c>
      <c r="E48" s="107">
        <f>'Calcul R84'!F9</f>
        <v>1.7</v>
      </c>
      <c r="F48" s="107">
        <f>'Calcul R84'!G9</f>
        <v>1.8</v>
      </c>
      <c r="G48" s="107">
        <f>'Calcul R84'!H9</f>
        <v>1.3</v>
      </c>
      <c r="H48" s="107">
        <f>'Calcul R84'!I9</f>
        <v>1.6</v>
      </c>
      <c r="I48" s="107">
        <f>'Calcul R84'!J9</f>
        <v>2</v>
      </c>
      <c r="J48" s="107">
        <f>'Calcul R84'!K9</f>
        <v>2.2999999999999998</v>
      </c>
      <c r="K48" s="107">
        <f>'Calcul R84'!L9</f>
        <v>2.5</v>
      </c>
      <c r="L48" s="107">
        <f>'Calcul R84'!M9</f>
        <v>2.5</v>
      </c>
      <c r="M48" s="107">
        <f>'Calcul R84'!N9</f>
        <v>2.1</v>
      </c>
      <c r="N48" s="107">
        <f>'Calcul R84'!O9</f>
        <v>2.6</v>
      </c>
      <c r="O48" s="107">
        <f>'Calcul R84'!P9</f>
        <v>2.65</v>
      </c>
      <c r="P48" s="107"/>
      <c r="Q48" s="107"/>
      <c r="R48" s="107"/>
      <c r="S48" s="107"/>
      <c r="T48" s="107"/>
      <c r="U48" s="107"/>
      <c r="V48" s="107">
        <f>'Calcul R84'!W9</f>
        <v>3</v>
      </c>
      <c r="W48" s="107">
        <f>'Calcul R84'!X9</f>
        <v>3.3000000000000003</v>
      </c>
      <c r="X48" s="107">
        <f t="shared" si="2"/>
        <v>1.72</v>
      </c>
      <c r="Y48" s="189">
        <f t="shared" si="3"/>
        <v>1.8</v>
      </c>
      <c r="Z48" s="107">
        <f t="shared" si="4"/>
        <v>2.4</v>
      </c>
      <c r="AA48" s="138">
        <f t="shared" si="0"/>
        <v>0.25</v>
      </c>
      <c r="AB48" s="138">
        <f t="shared" si="1"/>
        <v>0.37500000000000022</v>
      </c>
      <c r="AC48" s="65" t="s">
        <v>281</v>
      </c>
      <c r="AD48" s="349" t="s">
        <v>384</v>
      </c>
    </row>
    <row r="49" spans="1:30" x14ac:dyDescent="0.3">
      <c r="A49" s="392" t="s">
        <v>106</v>
      </c>
      <c r="B49" s="107">
        <f>'Calcul R84'!C10</f>
        <v>4.3</v>
      </c>
      <c r="C49" s="107">
        <f>'Calcul R84'!D10</f>
        <v>4.0999999999999996</v>
      </c>
      <c r="D49" s="107">
        <f>'Calcul R84'!E10</f>
        <v>3.6</v>
      </c>
      <c r="E49" s="107">
        <f>'Calcul R84'!F10</f>
        <v>3.7</v>
      </c>
      <c r="F49" s="107">
        <f>'Calcul R84'!G10</f>
        <v>3.5</v>
      </c>
      <c r="G49" s="107">
        <f>'Calcul R84'!H10</f>
        <v>3.6</v>
      </c>
      <c r="H49" s="107">
        <f>'Calcul R84'!I10</f>
        <v>3.5</v>
      </c>
      <c r="I49" s="107">
        <f>'Calcul R84'!J10</f>
        <v>3.3</v>
      </c>
      <c r="J49" s="107">
        <f>'Calcul R84'!K10</f>
        <v>3.1</v>
      </c>
      <c r="K49" s="107">
        <f>'Calcul R84'!L10</f>
        <v>2.9</v>
      </c>
      <c r="L49" s="107">
        <f>'Calcul R84'!M10</f>
        <v>3.1</v>
      </c>
      <c r="M49" s="107">
        <f>'Calcul R84'!N10</f>
        <v>3.6</v>
      </c>
      <c r="N49" s="107">
        <f>'Calcul R84'!O10</f>
        <v>3.2</v>
      </c>
      <c r="O49" s="107">
        <f>'Calcul R84'!P10</f>
        <v>3.1750000000000003</v>
      </c>
      <c r="P49" s="107"/>
      <c r="Q49" s="107"/>
      <c r="R49" s="107"/>
      <c r="S49" s="107"/>
      <c r="T49" s="107"/>
      <c r="U49" s="107"/>
      <c r="V49" s="107">
        <f>'Calcul R84'!W10</f>
        <v>3</v>
      </c>
      <c r="W49" s="107">
        <f>'Calcul R84'!X10</f>
        <v>3.1500000000000004</v>
      </c>
      <c r="X49" s="107">
        <f t="shared" si="2"/>
        <v>3.84</v>
      </c>
      <c r="Y49" s="189">
        <f t="shared" si="3"/>
        <v>3.4</v>
      </c>
      <c r="Z49" s="107">
        <f t="shared" si="4"/>
        <v>3.1799999999999997</v>
      </c>
      <c r="AA49" s="138">
        <f t="shared" si="0"/>
        <v>-5.6603773584905537E-2</v>
      </c>
      <c r="AB49" s="138">
        <f t="shared" si="1"/>
        <v>-9.4339622641507193E-3</v>
      </c>
      <c r="AC49" s="65" t="s">
        <v>281</v>
      </c>
    </row>
    <row r="50" spans="1:30" x14ac:dyDescent="0.3">
      <c r="A50" s="392" t="s">
        <v>107</v>
      </c>
      <c r="B50" s="107">
        <f>'Calcul R84'!C11</f>
        <v>49.3</v>
      </c>
      <c r="C50" s="107">
        <f>'Calcul R84'!D11</f>
        <v>47.3</v>
      </c>
      <c r="D50" s="107">
        <f>'Calcul R84'!E11</f>
        <v>47.6</v>
      </c>
      <c r="E50" s="107">
        <f>'Calcul R84'!F11</f>
        <v>47.6</v>
      </c>
      <c r="F50" s="107">
        <f>'Calcul R84'!G11</f>
        <v>47.6</v>
      </c>
      <c r="G50" s="107">
        <f>'Calcul R84'!H11</f>
        <v>47.6</v>
      </c>
      <c r="H50" s="107">
        <f>'Calcul R84'!I11</f>
        <v>47.6</v>
      </c>
      <c r="I50" s="107">
        <f>'Calcul R84'!J11</f>
        <v>47.6</v>
      </c>
      <c r="J50" s="107">
        <f>'Calcul R84'!K11</f>
        <v>47.6</v>
      </c>
      <c r="K50" s="107">
        <f>'Calcul R84'!L11</f>
        <v>47.6</v>
      </c>
      <c r="L50" s="107">
        <f>'Calcul R84'!M11</f>
        <v>47.6</v>
      </c>
      <c r="M50" s="107">
        <f>'Calcul R84'!N11</f>
        <v>47.6</v>
      </c>
      <c r="N50" s="107">
        <f>'Calcul R84'!O11</f>
        <v>47.5</v>
      </c>
      <c r="O50" s="107">
        <f>'Calcul R84'!P11</f>
        <v>47.5</v>
      </c>
      <c r="P50" s="107"/>
      <c r="Q50" s="107"/>
      <c r="R50" s="107"/>
      <c r="S50" s="107"/>
      <c r="T50" s="107"/>
      <c r="U50" s="107"/>
      <c r="V50" s="107">
        <f>'Calcul R84'!W11</f>
        <v>47.5</v>
      </c>
      <c r="W50" s="107">
        <f>'Calcul R84'!X11</f>
        <v>47.5</v>
      </c>
      <c r="X50" s="107">
        <f t="shared" si="2"/>
        <v>47.879999999999995</v>
      </c>
      <c r="Y50" s="189">
        <f t="shared" si="3"/>
        <v>47.6</v>
      </c>
      <c r="Z50" s="107">
        <f t="shared" si="4"/>
        <v>47.58</v>
      </c>
      <c r="AA50" s="138">
        <f t="shared" si="0"/>
        <v>-1.6813787305590688E-3</v>
      </c>
      <c r="AB50" s="138">
        <f t="shared" si="1"/>
        <v>-1.6813787305590688E-3</v>
      </c>
      <c r="AC50" s="65" t="s">
        <v>281</v>
      </c>
    </row>
    <row r="51" spans="1:30" x14ac:dyDescent="0.3">
      <c r="A51" s="392" t="s">
        <v>23</v>
      </c>
      <c r="B51" s="107">
        <f>'Calcul R84'!C12</f>
        <v>4.0122848261461934</v>
      </c>
      <c r="C51" s="107">
        <f>'Calcul R84'!D12</f>
        <v>4.1635701241775385</v>
      </c>
      <c r="D51" s="107">
        <f>'Calcul R84'!E12</f>
        <v>4.1245837479949614</v>
      </c>
      <c r="E51" s="107">
        <f>'Calcul R84'!F12</f>
        <v>4.0303297449608406</v>
      </c>
      <c r="F51" s="107">
        <f>'Calcul R84'!G12</f>
        <v>4.2169437919603805</v>
      </c>
      <c r="G51" s="107">
        <f>'Calcul R84'!H12</f>
        <v>4.0368924682936784</v>
      </c>
      <c r="H51" s="107">
        <f>'Calcul R84'!I12</f>
        <v>4.5965340873767264</v>
      </c>
      <c r="I51" s="107">
        <f>'Calcul R84'!J12</f>
        <v>4.2927865384580572</v>
      </c>
      <c r="J51" s="107">
        <f>'Calcul R84'!K12</f>
        <v>4.3623594872725153</v>
      </c>
      <c r="K51" s="107">
        <f>'Calcul R84'!L12</f>
        <v>4.6004803187771168</v>
      </c>
      <c r="L51" s="107">
        <f>'Calcul R84'!M12</f>
        <v>4.9650574603740072</v>
      </c>
      <c r="M51" s="107">
        <f>'Calcul R84'!N12</f>
        <v>4.678681069245588</v>
      </c>
      <c r="N51" s="107">
        <f>'Calcul R84'!O12</f>
        <v>3.94439710603924</v>
      </c>
      <c r="O51" s="107">
        <f>'Calcul R84'!P12</f>
        <v>3.9888474677843351</v>
      </c>
      <c r="P51" s="107"/>
      <c r="Q51" s="107"/>
      <c r="R51" s="107"/>
      <c r="S51" s="107"/>
      <c r="T51" s="107"/>
      <c r="U51" s="107"/>
      <c r="V51" s="107">
        <f>'Calcul R84'!W12</f>
        <v>4.3</v>
      </c>
      <c r="W51" s="107">
        <f>'Calcul R84'!X12</f>
        <v>4.5149999999999997</v>
      </c>
      <c r="X51" s="107">
        <f t="shared" si="2"/>
        <v>4.1095424470479829</v>
      </c>
      <c r="Y51" s="189">
        <f t="shared" si="3"/>
        <v>4.3011032746722719</v>
      </c>
      <c r="Z51" s="107">
        <f t="shared" si="4"/>
        <v>4.5101950883416935</v>
      </c>
      <c r="AA51" s="138">
        <f t="shared" si="0"/>
        <v>-4.6604433782703181E-2</v>
      </c>
      <c r="AB51" s="138">
        <f t="shared" si="1"/>
        <v>1.0653445281616492E-3</v>
      </c>
      <c r="AC51" s="65" t="s">
        <v>282</v>
      </c>
    </row>
    <row r="52" spans="1:30" x14ac:dyDescent="0.3">
      <c r="A52" s="392" t="s">
        <v>21</v>
      </c>
      <c r="B52" s="107">
        <f>'Calcul R84'!C13</f>
        <v>7.1550309657886242</v>
      </c>
      <c r="C52" s="107">
        <f>'Calcul R84'!D13</f>
        <v>6.918433804642004</v>
      </c>
      <c r="D52" s="107">
        <f>'Calcul R84'!E13</f>
        <v>7.7285127513075897</v>
      </c>
      <c r="E52" s="107">
        <f>'Calcul R84'!F13</f>
        <v>7.2365408165564098</v>
      </c>
      <c r="F52" s="107">
        <f>'Calcul R84'!G13</f>
        <v>6.9261540403959154</v>
      </c>
      <c r="G52" s="107">
        <f>'Calcul R84'!H13</f>
        <v>7.1186758253055578</v>
      </c>
      <c r="H52" s="107">
        <f>'Calcul R84'!I13</f>
        <v>6.9837511458257202</v>
      </c>
      <c r="I52" s="107">
        <f>'Calcul R84'!J13</f>
        <v>6.418347226284733</v>
      </c>
      <c r="J52" s="107">
        <f>'Calcul R84'!K13</f>
        <v>6.3184437452591053</v>
      </c>
      <c r="K52" s="107">
        <f>'Calcul R84'!L13</f>
        <v>6.2239096109963556</v>
      </c>
      <c r="L52" s="107">
        <f>'Calcul R84'!M13</f>
        <v>6.0345228314128292</v>
      </c>
      <c r="M52" s="107">
        <f>'Calcul R84'!N13</f>
        <v>5.92703057083411</v>
      </c>
      <c r="N52" s="107">
        <f>'Calcul R84'!O13</f>
        <v>6.3541321604384393</v>
      </c>
      <c r="O52" s="107">
        <f>'Calcul R84'!P13</f>
        <v>6.3098656403836344</v>
      </c>
      <c r="P52" s="107"/>
      <c r="Q52" s="107"/>
      <c r="R52" s="107"/>
      <c r="S52" s="107"/>
      <c r="T52" s="107"/>
      <c r="U52" s="107"/>
      <c r="V52" s="107">
        <f>'Calcul R84'!W13</f>
        <v>6</v>
      </c>
      <c r="W52" s="107">
        <f>'Calcul R84'!X13</f>
        <v>6.3000000000000007</v>
      </c>
      <c r="X52" s="107">
        <f t="shared" si="2"/>
        <v>7.1929344757381086</v>
      </c>
      <c r="Y52" s="189">
        <f t="shared" si="3"/>
        <v>6.7530743966142071</v>
      </c>
      <c r="Z52" s="107">
        <f t="shared" si="4"/>
        <v>6.1716077837881675</v>
      </c>
      <c r="AA52" s="138">
        <f t="shared" si="0"/>
        <v>-2.7806009357716155E-2</v>
      </c>
      <c r="AB52" s="138">
        <f t="shared" si="1"/>
        <v>2.0803690174398204E-2</v>
      </c>
      <c r="AC52" s="65" t="s">
        <v>282</v>
      </c>
    </row>
    <row r="53" spans="1:30" x14ac:dyDescent="0.3">
      <c r="A53" s="392" t="s">
        <v>12</v>
      </c>
      <c r="B53" s="107">
        <f>'Calcul R84'!C14</f>
        <v>26.3</v>
      </c>
      <c r="C53" s="107">
        <f>'Calcul R84'!D14</f>
        <v>28.4</v>
      </c>
      <c r="D53" s="107">
        <f>'Calcul R84'!E14</f>
        <v>26.6</v>
      </c>
      <c r="E53" s="107">
        <f>'Calcul R84'!F14</f>
        <v>26.8</v>
      </c>
      <c r="F53" s="107">
        <f>'Calcul R84'!G14</f>
        <v>26.6</v>
      </c>
      <c r="G53" s="107">
        <f>'Calcul R84'!H14</f>
        <v>26.5</v>
      </c>
      <c r="H53" s="107">
        <f>'Calcul R84'!I14</f>
        <v>27.9</v>
      </c>
      <c r="I53" s="107">
        <f>'Calcul R84'!J14</f>
        <v>27.2</v>
      </c>
      <c r="J53" s="107">
        <f>'Calcul R84'!K14</f>
        <v>25.7</v>
      </c>
      <c r="K53" s="107">
        <f>'Calcul R84'!L14</f>
        <v>25</v>
      </c>
      <c r="L53" s="107">
        <f>'Calcul R84'!M14</f>
        <v>27</v>
      </c>
      <c r="M53" s="107">
        <f>'Calcul R84'!N14</f>
        <v>26.9</v>
      </c>
      <c r="N53" s="107">
        <f>'Calcul R84'!O14</f>
        <v>26.8</v>
      </c>
      <c r="O53" s="107">
        <f>'Calcul R84'!P14</f>
        <v>26.7</v>
      </c>
      <c r="P53" s="107"/>
      <c r="Q53" s="107"/>
      <c r="R53" s="107"/>
      <c r="S53" s="107"/>
      <c r="T53" s="107"/>
      <c r="U53" s="107"/>
      <c r="V53" s="107">
        <f>'Calcul R84'!W14</f>
        <v>26</v>
      </c>
      <c r="W53" s="107">
        <f>'Calcul R84'!X14</f>
        <v>27.3</v>
      </c>
      <c r="X53" s="107">
        <f t="shared" si="2"/>
        <v>26.940000000000005</v>
      </c>
      <c r="Y53" s="189">
        <f t="shared" si="3"/>
        <v>26.78</v>
      </c>
      <c r="Z53" s="107">
        <f t="shared" si="4"/>
        <v>26.28</v>
      </c>
      <c r="AA53" s="138">
        <f t="shared" si="0"/>
        <v>-1.0654490106544956E-2</v>
      </c>
      <c r="AB53" s="138">
        <f t="shared" si="1"/>
        <v>3.8812785388127935E-2</v>
      </c>
      <c r="AC53" s="65" t="s">
        <v>281</v>
      </c>
    </row>
    <row r="54" spans="1:30" x14ac:dyDescent="0.3">
      <c r="A54" s="392" t="s">
        <v>20</v>
      </c>
      <c r="B54" s="107">
        <f>'Calcul R84'!C15</f>
        <v>2.961843447252289</v>
      </c>
      <c r="C54" s="107">
        <f>'Calcul R84'!D15</f>
        <v>2.7464889045158847</v>
      </c>
      <c r="D54" s="107">
        <f>'Calcul R84'!E15</f>
        <v>2.6065872821104388</v>
      </c>
      <c r="E54" s="107">
        <f>'Calcul R84'!F15</f>
        <v>2.8657318420326963</v>
      </c>
      <c r="F54" s="107">
        <f>'Calcul R84'!G15</f>
        <v>2.8227356555709617</v>
      </c>
      <c r="G54" s="107">
        <f>'Calcul R84'!H15</f>
        <v>2.6308870924058652</v>
      </c>
      <c r="H54" s="107">
        <f>'Calcul R84'!I15</f>
        <v>2.5936580291437754</v>
      </c>
      <c r="I54" s="107">
        <f>'Calcul R84'!J15</f>
        <v>2.7068107488384783</v>
      </c>
      <c r="J54" s="107">
        <f>'Calcul R84'!K15</f>
        <v>2.6412683096828165</v>
      </c>
      <c r="K54" s="107">
        <f>'Calcul R84'!L15</f>
        <v>2.5767423660726134</v>
      </c>
      <c r="L54" s="107">
        <f>'Calcul R84'!M15</f>
        <v>2.7287667923503345</v>
      </c>
      <c r="M54" s="107">
        <f>'Calcul R84'!N15</f>
        <v>2.9686950258447369</v>
      </c>
      <c r="N54" s="107">
        <f>'Calcul R84'!O15</f>
        <v>2.439670312898008</v>
      </c>
      <c r="O54" s="107">
        <f>'Calcul R84'!P15</f>
        <v>2.4472115237857568</v>
      </c>
      <c r="P54" s="107"/>
      <c r="Q54" s="107"/>
      <c r="R54" s="107"/>
      <c r="S54" s="107"/>
      <c r="T54" s="107"/>
      <c r="U54" s="107"/>
      <c r="V54" s="107">
        <f>'Calcul R84'!W15</f>
        <v>2.5</v>
      </c>
      <c r="W54" s="107">
        <f>'Calcul R84'!X15</f>
        <v>2.625</v>
      </c>
      <c r="X54" s="107">
        <f t="shared" si="2"/>
        <v>2.800677426296454</v>
      </c>
      <c r="Y54" s="189">
        <f t="shared" si="3"/>
        <v>2.6790719671283791</v>
      </c>
      <c r="Z54" s="107">
        <f t="shared" si="4"/>
        <v>2.6710285613697016</v>
      </c>
      <c r="AA54" s="138">
        <f t="shared" si="0"/>
        <v>-6.4030974375653305E-2</v>
      </c>
      <c r="AB54" s="138">
        <f t="shared" si="1"/>
        <v>-1.7232523094436014E-2</v>
      </c>
      <c r="AC54" s="65" t="s">
        <v>282</v>
      </c>
    </row>
    <row r="55" spans="1:30" x14ac:dyDescent="0.3">
      <c r="A55" s="392" t="s">
        <v>135</v>
      </c>
      <c r="B55" s="107">
        <f>'Calcul R84'!C16</f>
        <v>10.524295814394705</v>
      </c>
      <c r="C55" s="107">
        <f>'Calcul R84'!D16</f>
        <v>10.038470695514201</v>
      </c>
      <c r="D55" s="107">
        <f>'Calcul R84'!E16</f>
        <v>9.2499253384220346</v>
      </c>
      <c r="E55" s="107">
        <f>'Calcul R84'!F16</f>
        <v>9.4780696338880421</v>
      </c>
      <c r="F55" s="107">
        <f>'Calcul R84'!G16</f>
        <v>9.6024770928974501</v>
      </c>
      <c r="G55" s="107">
        <f>'Calcul R84'!H16</f>
        <v>9.5050948105312685</v>
      </c>
      <c r="H55" s="107">
        <f>'Calcul R84'!I16</f>
        <v>9.4341026275162729</v>
      </c>
      <c r="I55" s="107">
        <f>'Calcul R84'!J16</f>
        <v>10.443820463990443</v>
      </c>
      <c r="J55" s="107">
        <f>'Calcul R84'!K16</f>
        <v>10.186572745308871</v>
      </c>
      <c r="K55" s="107">
        <f>'Calcul R84'!L16</f>
        <v>10.623501308083377</v>
      </c>
      <c r="L55" s="107">
        <f>'Calcul R84'!M16</f>
        <v>11.231241023899283</v>
      </c>
      <c r="M55" s="107">
        <f>'Calcul R84'!N16</f>
        <v>12.18154958140507</v>
      </c>
      <c r="N55" s="107">
        <f>'Calcul R84'!O16</f>
        <v>10.520391618425846</v>
      </c>
      <c r="O55" s="107">
        <f>'Calcul R84'!P16</f>
        <v>10.630342666122615</v>
      </c>
      <c r="P55" s="107"/>
      <c r="Q55" s="107"/>
      <c r="R55" s="107"/>
      <c r="S55" s="107"/>
      <c r="T55" s="107"/>
      <c r="U55" s="107"/>
      <c r="V55" s="107">
        <f>'Calcul R84'!W16</f>
        <v>11.4</v>
      </c>
      <c r="W55" s="107">
        <f>'Calcul R84'!X16</f>
        <v>11.97</v>
      </c>
      <c r="X55" s="107">
        <f t="shared" si="2"/>
        <v>9.7786477150232862</v>
      </c>
      <c r="Y55" s="189">
        <f t="shared" si="3"/>
        <v>9.834413548048861</v>
      </c>
      <c r="Z55" s="107">
        <f t="shared" si="4"/>
        <v>10.94865125542449</v>
      </c>
      <c r="AA55" s="138">
        <f t="shared" si="0"/>
        <v>4.1224141133538339E-2</v>
      </c>
      <c r="AB55" s="138">
        <f t="shared" si="1"/>
        <v>9.3285348190215167E-2</v>
      </c>
      <c r="AC55" s="65" t="s">
        <v>282</v>
      </c>
    </row>
    <row r="56" spans="1:30" x14ac:dyDescent="0.3">
      <c r="A56" s="403" t="s">
        <v>24</v>
      </c>
      <c r="B56" s="107">
        <f>'Calcul R84'!C17</f>
        <v>1.6987397561723463</v>
      </c>
      <c r="C56" s="107">
        <f>'Calcul R84'!D17</f>
        <v>1.7577706568399245</v>
      </c>
      <c r="D56" s="107">
        <f>'Calcul R84'!E17</f>
        <v>2.0688629764741591</v>
      </c>
      <c r="E56" s="107">
        <f>'Calcul R84'!F17</f>
        <v>1.5985936106335745</v>
      </c>
      <c r="F56" s="107">
        <f>'Calcul R84'!G17</f>
        <v>1.9423327540759616</v>
      </c>
      <c r="G56" s="107">
        <f>'Calcul R84'!H17</f>
        <v>1.9116583285927249</v>
      </c>
      <c r="H56" s="107">
        <f>'Calcul R84'!I17</f>
        <v>1.3676120998203285</v>
      </c>
      <c r="I56" s="107">
        <f>'Calcul R84'!J17</f>
        <v>1.8402010435381304</v>
      </c>
      <c r="J56" s="107">
        <f>'Calcul R84'!K17</f>
        <v>1.6299787133857813</v>
      </c>
      <c r="K56" s="107">
        <f>'Calcul R84'!L17</f>
        <v>2.0311085183215241</v>
      </c>
      <c r="L56" s="107">
        <f>'Calcul R84'!M17</f>
        <v>1.4645570555426535</v>
      </c>
      <c r="M56" s="107">
        <f>'Calcul R84'!N17</f>
        <v>0.90570196298728167</v>
      </c>
      <c r="N56" s="107">
        <f>'Calcul R84'!O17</f>
        <v>1.9072307951980221</v>
      </c>
      <c r="O56" s="107">
        <f>'Calcul R84'!P17</f>
        <v>1.8688269457982694</v>
      </c>
      <c r="P56" s="107"/>
      <c r="Q56" s="107"/>
      <c r="R56" s="107"/>
      <c r="S56" s="107"/>
      <c r="T56" s="107"/>
      <c r="U56" s="107"/>
      <c r="V56" s="107">
        <f>'Calcul R84'!W17</f>
        <v>1.6</v>
      </c>
      <c r="W56" s="107">
        <f>'Calcul R84'!X17</f>
        <v>1.6800000000000002</v>
      </c>
      <c r="X56" s="107">
        <f t="shared" si="2"/>
        <v>1.8132599508391931</v>
      </c>
      <c r="Y56" s="189">
        <f t="shared" si="3"/>
        <v>1.7383565878825855</v>
      </c>
      <c r="Z56" s="107">
        <f t="shared" si="4"/>
        <v>1.5877154090870524</v>
      </c>
      <c r="AA56" s="138">
        <f t="shared" si="0"/>
        <v>7.7372751077671165E-3</v>
      </c>
      <c r="AB56" s="138">
        <f t="shared" si="1"/>
        <v>5.8124138863155483E-2</v>
      </c>
      <c r="AC56" s="65" t="s">
        <v>282</v>
      </c>
    </row>
    <row r="57" spans="1:30" x14ac:dyDescent="0.3">
      <c r="A57" s="403" t="s">
        <v>393</v>
      </c>
      <c r="B57" s="107">
        <f>'Calcul R84'!C18</f>
        <v>6.1</v>
      </c>
      <c r="C57" s="107">
        <f>'Calcul R84'!D18</f>
        <v>5.6</v>
      </c>
      <c r="D57" s="107">
        <f>'Calcul R84'!E18</f>
        <v>5.3</v>
      </c>
      <c r="E57" s="107">
        <f>'Calcul R84'!F18</f>
        <v>5.0999999999999996</v>
      </c>
      <c r="F57" s="107">
        <f>'Calcul R84'!G18</f>
        <v>5</v>
      </c>
      <c r="G57" s="107">
        <f>'Calcul R84'!H18</f>
        <v>5.0999999999999996</v>
      </c>
      <c r="H57" s="107">
        <f>'Calcul R84'!I18</f>
        <v>5</v>
      </c>
      <c r="I57" s="107">
        <f>'Calcul R84'!J18</f>
        <v>5.2</v>
      </c>
      <c r="J57" s="107">
        <f>'Calcul R84'!K18</f>
        <v>4.7</v>
      </c>
      <c r="K57" s="107">
        <f>'Calcul R84'!L18</f>
        <v>4.9000000000000004</v>
      </c>
      <c r="L57" s="107">
        <f>'Calcul R84'!M18</f>
        <v>4.2</v>
      </c>
      <c r="M57" s="107">
        <f>'Calcul R84'!N18</f>
        <v>4.2</v>
      </c>
      <c r="N57" s="107">
        <f>'Calcul R84'!O18</f>
        <v>4.0999999999999996</v>
      </c>
      <c r="O57" s="107">
        <f>'Calcul R84'!P18</f>
        <v>4.1124999999999998</v>
      </c>
      <c r="P57" s="107"/>
      <c r="Q57" s="107"/>
      <c r="R57" s="107"/>
      <c r="S57" s="107"/>
      <c r="T57" s="107"/>
      <c r="U57" s="107"/>
      <c r="V57" s="107">
        <f>'Calcul R84'!W18</f>
        <v>4.2</v>
      </c>
      <c r="W57" s="107">
        <f>'Calcul R84'!X18</f>
        <v>4.41</v>
      </c>
      <c r="X57" s="107">
        <f t="shared" si="2"/>
        <v>5.42</v>
      </c>
      <c r="Y57" s="189">
        <f t="shared" si="3"/>
        <v>5</v>
      </c>
      <c r="Z57" s="107">
        <f t="shared" si="4"/>
        <v>4.42</v>
      </c>
      <c r="AA57" s="138">
        <f t="shared" si="0"/>
        <v>-4.9773755656108531E-2</v>
      </c>
      <c r="AB57" s="138">
        <f t="shared" si="1"/>
        <v>-2.2624434389140191E-3</v>
      </c>
      <c r="AC57" s="65" t="s">
        <v>281</v>
      </c>
      <c r="AD57" s="182"/>
    </row>
    <row r="58" spans="1:30" x14ac:dyDescent="0.3">
      <c r="A58" s="403" t="s">
        <v>7</v>
      </c>
      <c r="B58" s="107">
        <f>'Calcul R84'!C19</f>
        <v>22</v>
      </c>
      <c r="C58" s="107">
        <f>'Calcul R84'!D19</f>
        <v>22.1</v>
      </c>
      <c r="D58" s="107">
        <f>'Calcul R84'!E19</f>
        <v>21.6</v>
      </c>
      <c r="E58" s="107">
        <f>'Calcul R84'!F19</f>
        <v>21.7</v>
      </c>
      <c r="F58" s="107">
        <f>'Calcul R84'!G19</f>
        <v>21.1</v>
      </c>
      <c r="G58" s="107">
        <f>'Calcul R84'!H19</f>
        <v>23.1</v>
      </c>
      <c r="H58" s="107">
        <f>'Calcul R84'!I19</f>
        <v>25.7</v>
      </c>
      <c r="I58" s="107">
        <f>'Calcul R84'!J19</f>
        <v>23.8</v>
      </c>
      <c r="J58" s="107">
        <f>'Calcul R84'!K19</f>
        <v>24.5</v>
      </c>
      <c r="K58" s="107">
        <f>'Calcul R84'!L19</f>
        <v>23.1</v>
      </c>
      <c r="L58" s="107">
        <f>'Calcul R84'!M19</f>
        <v>23.7</v>
      </c>
      <c r="M58" s="107">
        <f>'Calcul R84'!N19</f>
        <v>21.4</v>
      </c>
      <c r="N58" s="107">
        <f>'Calcul R84'!O19</f>
        <v>22.5</v>
      </c>
      <c r="O58" s="107">
        <f>'Calcul R84'!P19</f>
        <v>22.5625</v>
      </c>
      <c r="P58" s="107"/>
      <c r="Q58" s="107"/>
      <c r="R58" s="107"/>
      <c r="S58" s="107"/>
      <c r="T58" s="107"/>
      <c r="U58" s="107"/>
      <c r="V58" s="107">
        <f>'Calcul R84'!W19</f>
        <v>23</v>
      </c>
      <c r="W58" s="107">
        <f>'Calcul R84'!X19</f>
        <v>24.150000000000002</v>
      </c>
      <c r="X58" s="107">
        <f t="shared" si="2"/>
        <v>21.7</v>
      </c>
      <c r="Y58" s="189">
        <f t="shared" si="3"/>
        <v>23.64</v>
      </c>
      <c r="Z58" s="107">
        <f t="shared" si="4"/>
        <v>23.04</v>
      </c>
      <c r="AA58" s="138">
        <f t="shared" si="0"/>
        <v>-1.7361111111110494E-3</v>
      </c>
      <c r="AB58" s="138">
        <f t="shared" si="1"/>
        <v>4.8177083333333481E-2</v>
      </c>
      <c r="AC58" s="65" t="s">
        <v>281</v>
      </c>
    </row>
    <row r="59" spans="1:30" x14ac:dyDescent="0.3">
      <c r="A59" s="403" t="s">
        <v>9</v>
      </c>
      <c r="B59" s="107">
        <f>'Calcul R84'!C20</f>
        <v>4.9000000000000004</v>
      </c>
      <c r="C59" s="107">
        <f>'Calcul R84'!D20</f>
        <v>4.2</v>
      </c>
      <c r="D59" s="107">
        <f>'Calcul R84'!E20</f>
        <v>3.6</v>
      </c>
      <c r="E59" s="107">
        <f>'Calcul R84'!F20</f>
        <v>3.6</v>
      </c>
      <c r="F59" s="107">
        <f>'Calcul R84'!G20</f>
        <v>3.6</v>
      </c>
      <c r="G59" s="107">
        <f>'Calcul R84'!H20</f>
        <v>3.4</v>
      </c>
      <c r="H59" s="107">
        <f>'Calcul R84'!I20</f>
        <v>3.3</v>
      </c>
      <c r="I59" s="107">
        <f>'Calcul R84'!J20</f>
        <v>2.9</v>
      </c>
      <c r="J59" s="107">
        <f>'Calcul R84'!K20</f>
        <v>2.7</v>
      </c>
      <c r="K59" s="107">
        <f>'Calcul R84'!L20</f>
        <v>2.6</v>
      </c>
      <c r="L59" s="107">
        <f>'Calcul R84'!M20</f>
        <v>2.7</v>
      </c>
      <c r="M59" s="107">
        <f>'Calcul R84'!N20</f>
        <v>2.7</v>
      </c>
      <c r="N59" s="107">
        <f>'Calcul R84'!O20</f>
        <v>2.7</v>
      </c>
      <c r="O59" s="107">
        <f>'Calcul R84'!P20</f>
        <v>2.7375000000000003</v>
      </c>
      <c r="P59" s="107"/>
      <c r="Q59" s="107"/>
      <c r="R59" s="107"/>
      <c r="S59" s="107"/>
      <c r="T59" s="107"/>
      <c r="U59" s="107"/>
      <c r="V59" s="107">
        <f>'Calcul R84'!W20</f>
        <v>3</v>
      </c>
      <c r="W59" s="107">
        <f>'Calcul R84'!X20</f>
        <v>3.1500000000000004</v>
      </c>
      <c r="X59" s="107">
        <f t="shared" si="2"/>
        <v>3.9800000000000004</v>
      </c>
      <c r="Y59" s="189">
        <f t="shared" si="3"/>
        <v>3.1800000000000006</v>
      </c>
      <c r="Z59" s="107">
        <f t="shared" si="4"/>
        <v>2.6799999999999997</v>
      </c>
      <c r="AA59" s="138">
        <f t="shared" si="0"/>
        <v>0.11940298507462699</v>
      </c>
      <c r="AB59" s="138">
        <f t="shared" si="1"/>
        <v>0.17537313432835844</v>
      </c>
      <c r="AC59" s="65" t="s">
        <v>281</v>
      </c>
    </row>
    <row r="60" spans="1:30" x14ac:dyDescent="0.3">
      <c r="A60" s="393" t="s">
        <v>108</v>
      </c>
      <c r="B60" s="107">
        <f>'Calcul R84'!C21</f>
        <v>25.347511774425175</v>
      </c>
      <c r="C60" s="107">
        <f>'Calcul R84'!D21</f>
        <v>24.848940821218921</v>
      </c>
      <c r="D60" s="107">
        <f>'Calcul R84'!E21</f>
        <v>24.379226851426996</v>
      </c>
      <c r="E60" s="107">
        <f>'Calcul R84'!F21</f>
        <v>23.555226102969154</v>
      </c>
      <c r="F60" s="107">
        <f>'Calcul R84'!G21</f>
        <v>23.891552967691318</v>
      </c>
      <c r="G60" s="107">
        <f>'Calcul R84'!H21</f>
        <v>23.504527680437956</v>
      </c>
      <c r="H60" s="107">
        <f>'Calcul R84'!I21</f>
        <v>23.291689759126498</v>
      </c>
      <c r="I60" s="107">
        <f>'Calcul R84'!J21</f>
        <v>22.882608381978745</v>
      </c>
      <c r="J60" s="107">
        <f>'Calcul R84'!K21</f>
        <v>23.3</v>
      </c>
      <c r="K60" s="107">
        <f>'Calcul R84'!L21</f>
        <v>23</v>
      </c>
      <c r="L60" s="107">
        <f>'Calcul R84'!M21</f>
        <v>22.2</v>
      </c>
      <c r="M60" s="107">
        <f>'Calcul R84'!N21</f>
        <v>22.2</v>
      </c>
      <c r="N60" s="107">
        <f>'Calcul R84'!O21</f>
        <v>22.1</v>
      </c>
      <c r="O60" s="107">
        <f>'Calcul R84'!P21</f>
        <v>21.3</v>
      </c>
      <c r="P60" s="107"/>
      <c r="Q60" s="107"/>
      <c r="R60" s="107"/>
      <c r="S60" s="107"/>
      <c r="T60" s="107"/>
      <c r="U60" s="107"/>
      <c r="V60" s="107">
        <f>'Calcul R84'!W21</f>
        <v>20</v>
      </c>
      <c r="W60" s="107">
        <f>'Calcul R84'!X21</f>
        <v>18</v>
      </c>
      <c r="X60" s="107">
        <f t="shared" si="2"/>
        <v>24.404491703546313</v>
      </c>
      <c r="Y60" s="189">
        <f t="shared" si="3"/>
        <v>23.374075757846903</v>
      </c>
      <c r="Z60" s="107">
        <f t="shared" si="4"/>
        <v>22.560000000000002</v>
      </c>
      <c r="AA60" s="138">
        <f t="shared" si="0"/>
        <v>-0.11347517730496459</v>
      </c>
      <c r="AB60" s="138">
        <f t="shared" si="1"/>
        <v>-0.20212765957446821</v>
      </c>
      <c r="AC60" s="65" t="s">
        <v>281</v>
      </c>
    </row>
    <row r="61" spans="1:30" x14ac:dyDescent="0.3">
      <c r="A61" s="393" t="s">
        <v>109</v>
      </c>
      <c r="B61" s="107">
        <f>'Calcul R84'!C22</f>
        <v>33.083796105560623</v>
      </c>
      <c r="C61" s="107">
        <f>'Calcul R84'!D22</f>
        <v>32.32788259519932</v>
      </c>
      <c r="D61" s="107">
        <f>'Calcul R84'!E22</f>
        <v>32.277756859686157</v>
      </c>
      <c r="E61" s="107">
        <f>'Calcul R84'!F22</f>
        <v>32.020096090337681</v>
      </c>
      <c r="F61" s="107">
        <f>'Calcul R84'!G22</f>
        <v>32.700080583095684</v>
      </c>
      <c r="G61" s="107">
        <f>'Calcul R84'!H22</f>
        <v>33.202226948007997</v>
      </c>
      <c r="H61" s="107">
        <f>'Calcul R84'!I22</f>
        <v>32.718881528031908</v>
      </c>
      <c r="I61" s="107">
        <f>'Calcul R84'!J22</f>
        <v>32.624278581050753</v>
      </c>
      <c r="J61" s="107">
        <f>'Calcul R84'!K22</f>
        <v>32.908807690008665</v>
      </c>
      <c r="K61" s="107">
        <f>'Calcul R84'!L22</f>
        <v>31.9</v>
      </c>
      <c r="L61" s="107">
        <f>'Calcul R84'!M22</f>
        <v>31.7</v>
      </c>
      <c r="M61" s="107">
        <f>'Calcul R84'!N22</f>
        <v>31.7</v>
      </c>
      <c r="N61" s="107">
        <f>'Calcul R84'!O22</f>
        <v>32.1</v>
      </c>
      <c r="O61" s="107">
        <f>'Calcul R84'!P22</f>
        <v>30.6</v>
      </c>
      <c r="P61" s="107"/>
      <c r="Q61" s="107"/>
      <c r="R61" s="107"/>
      <c r="S61" s="107"/>
      <c r="T61" s="107"/>
      <c r="U61" s="107"/>
      <c r="V61" s="107">
        <f>'Calcul R84'!W22</f>
        <v>30</v>
      </c>
      <c r="W61" s="107">
        <f>'Calcul R84'!X22</f>
        <v>28.5</v>
      </c>
      <c r="X61" s="107">
        <f t="shared" si="2"/>
        <v>32.481922446775897</v>
      </c>
      <c r="Y61" s="189">
        <f t="shared" si="3"/>
        <v>32.830855066039007</v>
      </c>
      <c r="Z61" s="107">
        <f t="shared" si="4"/>
        <v>32.061761538001733</v>
      </c>
      <c r="AA61" s="138">
        <f t="shared" si="0"/>
        <v>-6.4305934518226526E-2</v>
      </c>
      <c r="AB61" s="138">
        <f t="shared" si="1"/>
        <v>-0.11109063779231521</v>
      </c>
      <c r="AC61" s="65" t="s">
        <v>281</v>
      </c>
    </row>
    <row r="62" spans="1:30" x14ac:dyDescent="0.3">
      <c r="A62" s="393" t="s">
        <v>110</v>
      </c>
      <c r="B62" s="107">
        <f>'Calcul R84'!C23</f>
        <v>23.830904600132801</v>
      </c>
      <c r="C62" s="107">
        <f>'Calcul R84'!D23</f>
        <v>22.926894486087189</v>
      </c>
      <c r="D62" s="107">
        <f>'Calcul R84'!E23</f>
        <v>23.830904600132811</v>
      </c>
      <c r="E62" s="107">
        <f>'Calcul R84'!F23</f>
        <v>24.064796374925809</v>
      </c>
      <c r="F62" s="107">
        <f>'Calcul R84'!G23</f>
        <v>24.693539695474367</v>
      </c>
      <c r="G62" s="107">
        <f>'Calcul R84'!H23</f>
        <v>25.493241536448537</v>
      </c>
      <c r="H62" s="107">
        <f>'Calcul R84'!I23</f>
        <v>25.825893721690601</v>
      </c>
      <c r="I62" s="107">
        <f>'Calcul R84'!J23</f>
        <v>26.256204250860648</v>
      </c>
      <c r="J62" s="107">
        <f>'Calcul R84'!K23</f>
        <v>28</v>
      </c>
      <c r="K62" s="107">
        <f>'Calcul R84'!L23</f>
        <v>28.4</v>
      </c>
      <c r="L62" s="107">
        <f>'Calcul R84'!M23</f>
        <v>28.4</v>
      </c>
      <c r="M62" s="107">
        <f>'Calcul R84'!N23</f>
        <v>28.3</v>
      </c>
      <c r="N62" s="107">
        <f>'Calcul R84'!O23</f>
        <v>27.9</v>
      </c>
      <c r="O62" s="107">
        <f>'Calcul R84'!P23</f>
        <v>29</v>
      </c>
      <c r="P62" s="107"/>
      <c r="Q62" s="107"/>
      <c r="R62" s="107"/>
      <c r="S62" s="107"/>
      <c r="T62" s="107"/>
      <c r="U62" s="107"/>
      <c r="V62" s="107">
        <f>'Calcul R84'!W23</f>
        <v>28</v>
      </c>
      <c r="W62" s="107">
        <f>'Calcul R84'!X23</f>
        <v>26.599999999999998</v>
      </c>
      <c r="X62" s="107">
        <f t="shared" si="2"/>
        <v>23.869407951350595</v>
      </c>
      <c r="Y62" s="189">
        <f t="shared" si="3"/>
        <v>26.053775840894833</v>
      </c>
      <c r="Z62" s="107">
        <f t="shared" si="4"/>
        <v>28.2</v>
      </c>
      <c r="AA62" s="138">
        <f t="shared" si="0"/>
        <v>-7.0921985815602939E-3</v>
      </c>
      <c r="AB62" s="138">
        <f t="shared" si="1"/>
        <v>-5.6737588652482351E-2</v>
      </c>
      <c r="AC62" s="65" t="s">
        <v>281</v>
      </c>
    </row>
    <row r="63" spans="1:30" x14ac:dyDescent="0.3">
      <c r="A63" s="393" t="s">
        <v>111</v>
      </c>
      <c r="B63" s="107">
        <f>'Calcul R84'!C24</f>
        <v>3.0197402368782718</v>
      </c>
      <c r="C63" s="107">
        <f>'Calcul R84'!D24</f>
        <v>2.914114208439623</v>
      </c>
      <c r="D63" s="107">
        <f>'Calcul R84'!E24</f>
        <v>2.8286457893609862</v>
      </c>
      <c r="E63" s="107">
        <f>'Calcul R84'!F24</f>
        <v>2.7220656074510337</v>
      </c>
      <c r="F63" s="107">
        <f>'Calcul R84'!G24</f>
        <v>2.7036986735479198</v>
      </c>
      <c r="G63" s="107">
        <f>'Calcul R84'!H24</f>
        <v>2.5722331142560653</v>
      </c>
      <c r="H63" s="107">
        <f>'Calcul R84'!I24</f>
        <v>2.4952831088580254</v>
      </c>
      <c r="I63" s="107">
        <f>'Calcul R84'!J24</f>
        <v>2.4574457715910807</v>
      </c>
      <c r="J63" s="107">
        <f>'Calcul R84'!K24</f>
        <v>2.5</v>
      </c>
      <c r="K63" s="107">
        <f>'Calcul R84'!L24</f>
        <v>2.5</v>
      </c>
      <c r="L63" s="107">
        <f>'Calcul R84'!M24</f>
        <v>2.2999999999999998</v>
      </c>
      <c r="M63" s="107">
        <f>'Calcul R84'!N24</f>
        <v>2.27</v>
      </c>
      <c r="N63" s="107">
        <f>'Calcul R84'!O24</f>
        <v>2.2000000000000002</v>
      </c>
      <c r="O63" s="107">
        <f>'Calcul R84'!P24</f>
        <v>2.2000000000000002</v>
      </c>
      <c r="P63" s="107"/>
      <c r="Q63" s="107"/>
      <c r="R63" s="107"/>
      <c r="S63" s="107"/>
      <c r="T63" s="107"/>
      <c r="U63" s="107"/>
      <c r="V63" s="107">
        <f>'Calcul R84'!W24</f>
        <v>2</v>
      </c>
      <c r="W63" s="107">
        <f>'Calcul R84'!X24</f>
        <v>1.8</v>
      </c>
      <c r="X63" s="107">
        <f t="shared" si="2"/>
        <v>2.8376529031355675</v>
      </c>
      <c r="Y63" s="189">
        <f t="shared" si="3"/>
        <v>2.5457321336506182</v>
      </c>
      <c r="Z63" s="107">
        <f t="shared" si="4"/>
        <v>2.3540000000000001</v>
      </c>
      <c r="AA63" s="138">
        <f t="shared" si="0"/>
        <v>-0.15038232795242146</v>
      </c>
      <c r="AB63" s="138">
        <f t="shared" si="1"/>
        <v>-0.23534409515717924</v>
      </c>
      <c r="AC63" s="65" t="s">
        <v>281</v>
      </c>
    </row>
    <row r="64" spans="1:30" x14ac:dyDescent="0.3">
      <c r="A64" s="393" t="s">
        <v>44</v>
      </c>
      <c r="B64" s="107">
        <f>'Calcul R84'!C25</f>
        <v>13.524617785779524</v>
      </c>
      <c r="C64" s="107">
        <f>'Calcul R84'!D25</f>
        <v>12.171288343897722</v>
      </c>
      <c r="D64" s="107">
        <f>'Calcul R84'!E25</f>
        <v>12.220020914292707</v>
      </c>
      <c r="E64" s="107">
        <f>'Calcul R84'!F25</f>
        <v>13.513925733026769</v>
      </c>
      <c r="F64" s="107">
        <f>'Calcul R84'!G25</f>
        <v>13.213180431526251</v>
      </c>
      <c r="G64" s="107">
        <f>'Calcul R84'!H25</f>
        <v>13.408560330305036</v>
      </c>
      <c r="H64" s="107">
        <f>'Calcul R84'!I25</f>
        <v>13.120296814924522</v>
      </c>
      <c r="I64" s="107">
        <f>'Calcul R84'!J25</f>
        <v>13.731868665175201</v>
      </c>
      <c r="J64" s="107">
        <f>'Calcul R84'!K25</f>
        <v>13.276739605409077</v>
      </c>
      <c r="K64" s="107">
        <f>'Calcul R84'!L25</f>
        <v>12.8</v>
      </c>
      <c r="L64" s="107">
        <f>'Calcul R84'!M25</f>
        <v>14.1</v>
      </c>
      <c r="M64" s="107">
        <f>'Calcul R84'!N25</f>
        <v>14.2</v>
      </c>
      <c r="N64" s="107">
        <f>'Calcul R84'!O25</f>
        <v>14.5</v>
      </c>
      <c r="O64" s="107">
        <f>'Calcul R84'!P25</f>
        <v>15</v>
      </c>
      <c r="P64" s="107"/>
      <c r="Q64" s="107"/>
      <c r="R64" s="107"/>
      <c r="S64" s="107"/>
      <c r="T64" s="107"/>
      <c r="U64" s="107"/>
      <c r="V64" s="107">
        <f>'Calcul R84'!W25</f>
        <v>15</v>
      </c>
      <c r="W64" s="107">
        <f>'Calcul R84'!X25</f>
        <v>14.7</v>
      </c>
      <c r="X64" s="107">
        <f t="shared" si="2"/>
        <v>12.928606641704596</v>
      </c>
      <c r="Y64" s="189">
        <f t="shared" si="3"/>
        <v>13.350129169468016</v>
      </c>
      <c r="Z64" s="107">
        <f t="shared" si="4"/>
        <v>13.775347921081813</v>
      </c>
      <c r="AA64" s="138">
        <f t="shared" si="0"/>
        <v>8.8901716743137627E-2</v>
      </c>
      <c r="AB64" s="138">
        <f t="shared" si="1"/>
        <v>6.7123682408274821E-2</v>
      </c>
      <c r="AC64" s="65" t="s">
        <v>281</v>
      </c>
    </row>
    <row r="65" spans="1:30" x14ac:dyDescent="0.3">
      <c r="A65" s="393" t="s">
        <v>112</v>
      </c>
      <c r="B65" s="107">
        <f>'Calcul R84'!C26</f>
        <v>356.90700585542027</v>
      </c>
      <c r="C65" s="107">
        <f>'Calcul R84'!D26</f>
        <v>356.01510984118306</v>
      </c>
      <c r="D65" s="107">
        <f>'Calcul R84'!E26</f>
        <v>354.72110650832559</v>
      </c>
      <c r="E65" s="107">
        <f>'Calcul R84'!F26</f>
        <v>353.93994538638594</v>
      </c>
      <c r="F65" s="107">
        <f>'Calcul R84'!G26</f>
        <v>360.13449215740792</v>
      </c>
      <c r="G65" s="107">
        <f>'Calcul R84'!H26</f>
        <v>355.08771550963172</v>
      </c>
      <c r="H65" s="107">
        <f>'Calcul R84'!I26</f>
        <v>347.27314324950345</v>
      </c>
      <c r="I65" s="107">
        <f>'Calcul R84'!J26</f>
        <v>346.41117043054464</v>
      </c>
      <c r="J65" s="107">
        <f>'Calcul R84'!K26</f>
        <v>345.21500000000003</v>
      </c>
      <c r="K65" s="107">
        <f>'Calcul R84'!L26</f>
        <v>367.89000000000004</v>
      </c>
      <c r="L65" s="107">
        <f>'Calcul R84'!M26</f>
        <v>354.35</v>
      </c>
      <c r="M65" s="107">
        <f>'Calcul R84'!N26</f>
        <v>368</v>
      </c>
      <c r="N65" s="107">
        <f>'Calcul R84'!O26</f>
        <v>362.1</v>
      </c>
      <c r="O65" s="107">
        <f>'Calcul R84'!P26</f>
        <v>362.5625</v>
      </c>
      <c r="P65" s="107"/>
      <c r="Q65" s="107"/>
      <c r="R65" s="107"/>
      <c r="S65" s="107"/>
      <c r="T65" s="107"/>
      <c r="U65" s="107"/>
      <c r="V65" s="107">
        <f>'Calcul R84'!W26</f>
        <v>360</v>
      </c>
      <c r="W65" s="107">
        <f>'Calcul R84'!X26</f>
        <v>324</v>
      </c>
      <c r="X65" s="107">
        <f t="shared" si="2"/>
        <v>356.34353194974454</v>
      </c>
      <c r="Y65" s="189">
        <f t="shared" si="3"/>
        <v>350.82430426941755</v>
      </c>
      <c r="Z65" s="107">
        <f t="shared" si="4"/>
        <v>359.51099999999997</v>
      </c>
      <c r="AA65" s="138">
        <f t="shared" si="0"/>
        <v>1.3601809124061948E-3</v>
      </c>
      <c r="AB65" s="138">
        <f t="shared" si="1"/>
        <v>-9.8775837178834536E-2</v>
      </c>
      <c r="AC65" s="65" t="s">
        <v>281</v>
      </c>
      <c r="AD65" s="61" t="s">
        <v>383</v>
      </c>
    </row>
    <row r="66" spans="1:30" s="111" customFormat="1" x14ac:dyDescent="0.3">
      <c r="A66" s="404" t="s">
        <v>287</v>
      </c>
      <c r="B66" s="201">
        <f>'Calcul R84'!C27</f>
        <v>65.67071849772428</v>
      </c>
      <c r="C66" s="201">
        <f>'Calcul R84'!D27</f>
        <v>64.778822483487048</v>
      </c>
      <c r="D66" s="201">
        <f>'Calcul R84'!E27</f>
        <v>63.820043275225572</v>
      </c>
      <c r="E66" s="201">
        <f>'Calcul R84'!F27</f>
        <v>63.917857853333864</v>
      </c>
      <c r="F66" s="201">
        <f>'Calcul R84'!G27</f>
        <v>61.941448731224646</v>
      </c>
      <c r="G66" s="201">
        <f>'Calcul R84'!H27</f>
        <v>59.799736294770661</v>
      </c>
      <c r="H66" s="201">
        <f>'Calcul R84'!I27</f>
        <v>57.047277806805994</v>
      </c>
      <c r="I66" s="201">
        <f>'Calcul R84'!J27</f>
        <v>54.916348624344558</v>
      </c>
      <c r="J66" s="201">
        <f>'Calcul R84'!K27</f>
        <v>53.22</v>
      </c>
      <c r="K66" s="201">
        <f>'Calcul R84'!L27</f>
        <v>52.78</v>
      </c>
      <c r="L66" s="201">
        <f>'Calcul R84'!M27</f>
        <v>51.1</v>
      </c>
      <c r="M66" s="201">
        <f>'Calcul R84'!N27</f>
        <v>49.2</v>
      </c>
      <c r="N66" s="201">
        <f>'Calcul R84'!O27</f>
        <v>49.4</v>
      </c>
      <c r="O66" s="201">
        <f>'Calcul R84'!P27</f>
        <v>49.2</v>
      </c>
      <c r="P66" s="201"/>
      <c r="Q66" s="201"/>
      <c r="R66" s="201"/>
      <c r="S66" s="201"/>
      <c r="T66" s="201"/>
      <c r="U66" s="201"/>
      <c r="V66" s="107">
        <f>'Calcul R84'!W27</f>
        <v>42</v>
      </c>
      <c r="W66" s="107">
        <f>'Calcul R84'!X27</f>
        <v>37.800000000000004</v>
      </c>
      <c r="X66" s="201">
        <f t="shared" si="2"/>
        <v>64.025778168199082</v>
      </c>
      <c r="Y66" s="197">
        <f t="shared" si="3"/>
        <v>57.384962291429176</v>
      </c>
      <c r="Z66" s="201">
        <f t="shared" si="4"/>
        <v>51.14</v>
      </c>
      <c r="AA66" s="398">
        <f t="shared" si="0"/>
        <v>-0.17872506843957769</v>
      </c>
      <c r="AB66" s="398">
        <f t="shared" si="1"/>
        <v>-0.26085256159561976</v>
      </c>
      <c r="AC66" s="400"/>
    </row>
    <row r="67" spans="1:30" s="111" customFormat="1" x14ac:dyDescent="0.3">
      <c r="A67" s="404" t="s">
        <v>288</v>
      </c>
      <c r="B67" s="201">
        <f>'Calcul R84'!C28</f>
        <v>65.67071849772428</v>
      </c>
      <c r="C67" s="201">
        <f>'Calcul R84'!D28</f>
        <v>64.778822483487048</v>
      </c>
      <c r="D67" s="201">
        <f>'Calcul R84'!E28</f>
        <v>63.820043275225572</v>
      </c>
      <c r="E67" s="201">
        <f>'Calcul R84'!F28</f>
        <v>63.917857853333864</v>
      </c>
      <c r="F67" s="201">
        <f>'Calcul R84'!G28</f>
        <v>61.941448731224646</v>
      </c>
      <c r="G67" s="201">
        <f>'Calcul R84'!H28</f>
        <v>59.799736294770661</v>
      </c>
      <c r="H67" s="201">
        <f>'Calcul R84'!I28</f>
        <v>57.047277806805994</v>
      </c>
      <c r="I67" s="201">
        <f>'Calcul R84'!J28</f>
        <v>54.916348624344558</v>
      </c>
      <c r="J67" s="201">
        <f>'Calcul R84'!K28</f>
        <v>53.22</v>
      </c>
      <c r="K67" s="201">
        <f>'Calcul R84'!L28</f>
        <v>52.78</v>
      </c>
      <c r="L67" s="201">
        <f>'Calcul R84'!M28</f>
        <v>51.1</v>
      </c>
      <c r="M67" s="201">
        <f>'Calcul R84'!N28</f>
        <v>49.2</v>
      </c>
      <c r="N67" s="201">
        <f>'Calcul R84'!O28</f>
        <v>49.4</v>
      </c>
      <c r="O67" s="201">
        <f>'Calcul R84'!P28</f>
        <v>49.2</v>
      </c>
      <c r="P67" s="201"/>
      <c r="Q67" s="201"/>
      <c r="R67" s="201"/>
      <c r="S67" s="201"/>
      <c r="T67" s="201"/>
      <c r="U67" s="201"/>
      <c r="V67" s="107">
        <f>'Calcul R84'!W28</f>
        <v>42</v>
      </c>
      <c r="W67" s="107">
        <f>'Calcul R84'!X28</f>
        <v>37.800000000000004</v>
      </c>
      <c r="X67" s="201">
        <f t="shared" si="2"/>
        <v>64.025778168199082</v>
      </c>
      <c r="Y67" s="197">
        <f t="shared" si="3"/>
        <v>57.384962291429176</v>
      </c>
      <c r="Z67" s="201">
        <f t="shared" si="4"/>
        <v>51.14</v>
      </c>
      <c r="AA67" s="398">
        <f t="shared" si="0"/>
        <v>-0.17872506843957769</v>
      </c>
      <c r="AB67" s="398">
        <f t="shared" si="1"/>
        <v>-0.26085256159561976</v>
      </c>
      <c r="AC67" s="400"/>
    </row>
    <row r="68" spans="1:30" s="111" customFormat="1" x14ac:dyDescent="0.3">
      <c r="A68" s="404" t="s">
        <v>290</v>
      </c>
      <c r="B68" s="201">
        <f>'Calcul R84'!C29</f>
        <v>38.894487239680366</v>
      </c>
      <c r="C68" s="201">
        <f>'Calcul R84'!D29</f>
        <v>38.894487239680366</v>
      </c>
      <c r="D68" s="201">
        <f>'Calcul R84'!E29</f>
        <v>38.046136230756268</v>
      </c>
      <c r="E68" s="201">
        <f>'Calcul R84'!F29</f>
        <v>37.814221258253667</v>
      </c>
      <c r="F68" s="201">
        <f>'Calcul R84'!G29</f>
        <v>37.098708345082201</v>
      </c>
      <c r="G68" s="201">
        <f>'Calcul R84'!H29</f>
        <v>37.388873513335966</v>
      </c>
      <c r="H68" s="201">
        <f>'Calcul R84'!I29</f>
        <v>36.696968805351183</v>
      </c>
      <c r="I68" s="201">
        <f>'Calcul R84'!J29</f>
        <v>36.805374822505314</v>
      </c>
      <c r="J68" s="201">
        <f>'Calcul R84'!K29</f>
        <v>36.729999999999997</v>
      </c>
      <c r="K68" s="201">
        <f>'Calcul R84'!L29</f>
        <v>38.340000000000003</v>
      </c>
      <c r="L68" s="201">
        <f>'Calcul R84'!M29</f>
        <v>35.5</v>
      </c>
      <c r="M68" s="201">
        <f>'Calcul R84'!N29</f>
        <v>35.200000000000003</v>
      </c>
      <c r="N68" s="201">
        <f>'Calcul R84'!O29</f>
        <v>35.799999999999997</v>
      </c>
      <c r="O68" s="201">
        <f>'Calcul R84'!P29</f>
        <v>35.574999999999996</v>
      </c>
      <c r="P68" s="201"/>
      <c r="Q68" s="201"/>
      <c r="R68" s="201"/>
      <c r="S68" s="201"/>
      <c r="T68" s="201"/>
      <c r="U68" s="201"/>
      <c r="V68" s="107">
        <f>'Calcul R84'!W29</f>
        <v>34</v>
      </c>
      <c r="W68" s="107">
        <f>'Calcul R84'!X29</f>
        <v>30.6</v>
      </c>
      <c r="X68" s="201">
        <f t="shared" si="2"/>
        <v>38.149608062690575</v>
      </c>
      <c r="Y68" s="197">
        <f t="shared" si="3"/>
        <v>36.943985097254931</v>
      </c>
      <c r="Z68" s="201">
        <f t="shared" si="4"/>
        <v>36.314</v>
      </c>
      <c r="AA68" s="398">
        <f t="shared" si="0"/>
        <v>-6.3721980503387177E-2</v>
      </c>
      <c r="AB68" s="398">
        <f t="shared" si="1"/>
        <v>-0.15734978245304843</v>
      </c>
      <c r="AC68" s="400"/>
    </row>
    <row r="69" spans="1:30" s="111" customFormat="1" x14ac:dyDescent="0.3">
      <c r="A69" s="404" t="s">
        <v>291</v>
      </c>
      <c r="B69" s="201">
        <f>'Calcul R84'!C30</f>
        <v>58.341730859520553</v>
      </c>
      <c r="C69" s="201">
        <f>'Calcul R84'!D30</f>
        <v>58.341730859520553</v>
      </c>
      <c r="D69" s="201">
        <f>'Calcul R84'!E30</f>
        <v>57.069204346134399</v>
      </c>
      <c r="E69" s="201">
        <f>'Calcul R84'!F30</f>
        <v>56.721331887380501</v>
      </c>
      <c r="F69" s="201">
        <f>'Calcul R84'!G30</f>
        <v>55.648062517623302</v>
      </c>
      <c r="G69" s="201">
        <f>'Calcul R84'!H30</f>
        <v>56.083310270003949</v>
      </c>
      <c r="H69" s="201">
        <f>'Calcul R84'!I30</f>
        <v>55.045453208026771</v>
      </c>
      <c r="I69" s="201">
        <f>'Calcul R84'!J30</f>
        <v>55.208062233757971</v>
      </c>
      <c r="J69" s="201">
        <f>'Calcul R84'!K30</f>
        <v>55.094999999999999</v>
      </c>
      <c r="K69" s="201">
        <f>'Calcul R84'!L30</f>
        <v>57.510000000000005</v>
      </c>
      <c r="L69" s="201">
        <f>'Calcul R84'!M30</f>
        <v>53.25</v>
      </c>
      <c r="M69" s="201">
        <f>'Calcul R84'!N30</f>
        <v>52.800000000000004</v>
      </c>
      <c r="N69" s="201">
        <f>'Calcul R84'!O30</f>
        <v>53.699999999999996</v>
      </c>
      <c r="O69" s="201">
        <f>'Calcul R84'!P30</f>
        <v>53.362499999999997</v>
      </c>
      <c r="P69" s="201"/>
      <c r="Q69" s="201"/>
      <c r="R69" s="201"/>
      <c r="S69" s="201"/>
      <c r="T69" s="201"/>
      <c r="U69" s="201"/>
      <c r="V69" s="107">
        <f>'Calcul R84'!W30</f>
        <v>51</v>
      </c>
      <c r="W69" s="107">
        <f>'Calcul R84'!X30</f>
        <v>45.9</v>
      </c>
      <c r="X69" s="201">
        <f t="shared" si="2"/>
        <v>57.224412094035856</v>
      </c>
      <c r="Y69" s="197">
        <f t="shared" si="3"/>
        <v>55.415977645882393</v>
      </c>
      <c r="Z69" s="201">
        <f t="shared" si="4"/>
        <v>54.471000000000004</v>
      </c>
      <c r="AA69" s="398">
        <f t="shared" si="0"/>
        <v>-6.3721980503387177E-2</v>
      </c>
      <c r="AB69" s="398">
        <f t="shared" si="1"/>
        <v>-0.15734978245304854</v>
      </c>
      <c r="AC69" s="400"/>
    </row>
    <row r="70" spans="1:30" s="111" customFormat="1" x14ac:dyDescent="0.3">
      <c r="A70" s="404" t="s">
        <v>292</v>
      </c>
      <c r="B70" s="201">
        <f>'Calcul R84'!C31</f>
        <v>23.289455649817544</v>
      </c>
      <c r="C70" s="201">
        <f>'Calcul R84'!D31</f>
        <v>23.289455649817544</v>
      </c>
      <c r="D70" s="201">
        <f>'Calcul R84'!E31</f>
        <v>23.383185888696563</v>
      </c>
      <c r="E70" s="201">
        <f>'Calcul R84'!F31</f>
        <v>23.330075564567156</v>
      </c>
      <c r="F70" s="201">
        <f>'Calcul R84'!G31</f>
        <v>24.254498090855996</v>
      </c>
      <c r="G70" s="201">
        <f>'Calcul R84'!H31</f>
        <v>23.92046689448571</v>
      </c>
      <c r="H70" s="201">
        <f>'Calcul R84'!I31</f>
        <v>23.518041223467069</v>
      </c>
      <c r="I70" s="201">
        <f>'Calcul R84'!J31</f>
        <v>23.628675957244209</v>
      </c>
      <c r="J70" s="201">
        <f>'Calcul R84'!K31</f>
        <v>23.69</v>
      </c>
      <c r="K70" s="201">
        <f>'Calcul R84'!L31</f>
        <v>25.76</v>
      </c>
      <c r="L70" s="201">
        <f>'Calcul R84'!M31</f>
        <v>25</v>
      </c>
      <c r="M70" s="201">
        <f>'Calcul R84'!N31</f>
        <v>26.6</v>
      </c>
      <c r="N70" s="201">
        <f>'Calcul R84'!O31</f>
        <v>25.9</v>
      </c>
      <c r="O70" s="201">
        <f>'Calcul R84'!P31</f>
        <v>26</v>
      </c>
      <c r="P70" s="201"/>
      <c r="Q70" s="201"/>
      <c r="R70" s="201"/>
      <c r="S70" s="201"/>
      <c r="T70" s="201"/>
      <c r="U70" s="201"/>
      <c r="V70" s="107">
        <f>'Calcul R84'!W31</f>
        <v>26.7</v>
      </c>
      <c r="W70" s="107">
        <f>'Calcul R84'!X31</f>
        <v>24.03</v>
      </c>
      <c r="X70" s="201">
        <f t="shared" si="2"/>
        <v>23.509334168750961</v>
      </c>
      <c r="Y70" s="197">
        <f t="shared" si="3"/>
        <v>23.802336433210595</v>
      </c>
      <c r="Z70" s="201">
        <f t="shared" si="4"/>
        <v>25.390000000000004</v>
      </c>
      <c r="AA70" s="398">
        <f t="shared" si="0"/>
        <v>5.1595116187475254E-2</v>
      </c>
      <c r="AB70" s="398">
        <f t="shared" si="1"/>
        <v>-5.3564395431272227E-2</v>
      </c>
      <c r="AC70" s="400"/>
    </row>
    <row r="71" spans="1:30" s="111" customFormat="1" x14ac:dyDescent="0.3">
      <c r="A71" s="405" t="s">
        <v>293</v>
      </c>
      <c r="B71" s="201">
        <f>'Calcul R84'!C32</f>
        <v>232.89455649817543</v>
      </c>
      <c r="C71" s="201">
        <f>'Calcul R84'!D32</f>
        <v>232.89455649817543</v>
      </c>
      <c r="D71" s="201">
        <f>'Calcul R84'!E32</f>
        <v>233.83185888696562</v>
      </c>
      <c r="E71" s="201">
        <f>'Calcul R84'!F32</f>
        <v>233.30075564567156</v>
      </c>
      <c r="F71" s="201">
        <f>'Calcul R84'!G32</f>
        <v>242.54498090855998</v>
      </c>
      <c r="G71" s="201">
        <f>'Calcul R84'!H32</f>
        <v>239.2046689448571</v>
      </c>
      <c r="H71" s="201">
        <f>'Calcul R84'!I32</f>
        <v>235.18041223467068</v>
      </c>
      <c r="I71" s="201">
        <f>'Calcul R84'!J32</f>
        <v>236.28675957244209</v>
      </c>
      <c r="J71" s="201">
        <f>'Calcul R84'!K32</f>
        <v>236.9</v>
      </c>
      <c r="K71" s="201">
        <f>'Calcul R84'!L32</f>
        <v>257.60000000000002</v>
      </c>
      <c r="L71" s="201">
        <f>'Calcul R84'!M32</f>
        <v>250</v>
      </c>
      <c r="M71" s="201">
        <f>'Calcul R84'!N32</f>
        <v>266</v>
      </c>
      <c r="N71" s="201">
        <f>'Calcul R84'!O32</f>
        <v>259</v>
      </c>
      <c r="O71" s="201">
        <f>'Calcul R84'!P32</f>
        <v>260</v>
      </c>
      <c r="P71" s="201"/>
      <c r="Q71" s="201"/>
      <c r="R71" s="201"/>
      <c r="S71" s="201"/>
      <c r="T71" s="201"/>
      <c r="U71" s="201"/>
      <c r="V71" s="107">
        <f>'Calcul R84'!W32</f>
        <v>267</v>
      </c>
      <c r="W71" s="107">
        <f>'Calcul R84'!X32</f>
        <v>240.3</v>
      </c>
      <c r="X71" s="201">
        <f t="shared" si="2"/>
        <v>235.09334168750962</v>
      </c>
      <c r="Y71" s="197">
        <f t="shared" si="3"/>
        <v>238.02336433210598</v>
      </c>
      <c r="Z71" s="201">
        <f t="shared" si="4"/>
        <v>253.9</v>
      </c>
      <c r="AA71" s="398">
        <f t="shared" si="0"/>
        <v>5.1595116187475254E-2</v>
      </c>
      <c r="AB71" s="398">
        <f t="shared" si="1"/>
        <v>-5.3564395431272116E-2</v>
      </c>
      <c r="AC71" s="400"/>
    </row>
    <row r="72" spans="1:30" s="389" customFormat="1" x14ac:dyDescent="0.3">
      <c r="A72" s="408" t="s">
        <v>387</v>
      </c>
      <c r="B72" s="402">
        <f t="shared" ref="B72:O72" si="5">SUM(B42:B44)</f>
        <v>113.50000000000001</v>
      </c>
      <c r="C72" s="402">
        <f t="shared" si="5"/>
        <v>113.69999999999999</v>
      </c>
      <c r="D72" s="402">
        <f t="shared" si="5"/>
        <v>112.7</v>
      </c>
      <c r="E72" s="402">
        <f t="shared" si="5"/>
        <v>113.5</v>
      </c>
      <c r="F72" s="402">
        <f t="shared" si="5"/>
        <v>118.4</v>
      </c>
      <c r="G72" s="402">
        <f t="shared" si="5"/>
        <v>113</v>
      </c>
      <c r="H72" s="402">
        <f t="shared" si="5"/>
        <v>113.5</v>
      </c>
      <c r="I72" s="402">
        <f t="shared" si="5"/>
        <v>115.49999999999999</v>
      </c>
      <c r="J72" s="402">
        <f t="shared" si="5"/>
        <v>119.89999999999999</v>
      </c>
      <c r="K72" s="402">
        <f t="shared" si="5"/>
        <v>119.4</v>
      </c>
      <c r="L72" s="402">
        <f t="shared" si="5"/>
        <v>120.80000000000001</v>
      </c>
      <c r="M72" s="402">
        <f t="shared" si="5"/>
        <v>116.3</v>
      </c>
      <c r="N72" s="402">
        <f t="shared" si="5"/>
        <v>116.7</v>
      </c>
      <c r="O72" s="402">
        <f t="shared" si="5"/>
        <v>116.71250000000001</v>
      </c>
      <c r="P72" s="402"/>
      <c r="Q72" s="402"/>
      <c r="R72" s="402"/>
      <c r="S72" s="402"/>
      <c r="T72" s="402"/>
      <c r="U72" s="402"/>
      <c r="V72" s="402">
        <f>SUM(V42:V44)</f>
        <v>116.8</v>
      </c>
      <c r="W72" s="402">
        <f>SUM(W42:W44)</f>
        <v>122.64</v>
      </c>
      <c r="X72" s="388">
        <f>SUM(X42:X44)</f>
        <v>114.36</v>
      </c>
      <c r="Y72" s="388">
        <f>SUM(Y42:Y44)</f>
        <v>116.06</v>
      </c>
      <c r="Z72" s="388">
        <f>SUM(Z42:Z44)</f>
        <v>118.62</v>
      </c>
      <c r="AA72" s="138">
        <f t="shared" si="0"/>
        <v>-1.5343112459956232E-2</v>
      </c>
      <c r="AB72" s="138">
        <f t="shared" si="1"/>
        <v>3.3889731917045918E-2</v>
      </c>
      <c r="AC72" s="401"/>
    </row>
    <row r="73" spans="1:30" s="389" customFormat="1" x14ac:dyDescent="0.3">
      <c r="A73" s="408" t="s">
        <v>601</v>
      </c>
      <c r="B73" s="402">
        <f t="shared" ref="B73:O73" si="6">SUM(B45:B47)</f>
        <v>12.075316369922525</v>
      </c>
      <c r="C73" s="402">
        <f t="shared" si="6"/>
        <v>11.384658350660498</v>
      </c>
      <c r="D73" s="402">
        <f t="shared" si="6"/>
        <v>13.30379757825863</v>
      </c>
      <c r="E73" s="402">
        <f t="shared" si="6"/>
        <v>12.83034239586549</v>
      </c>
      <c r="F73" s="402">
        <f t="shared" si="6"/>
        <v>11.147536413638093</v>
      </c>
      <c r="G73" s="402">
        <f t="shared" si="6"/>
        <v>13.160253684721855</v>
      </c>
      <c r="H73" s="402">
        <f t="shared" si="6"/>
        <v>14.687544306432667</v>
      </c>
      <c r="I73" s="402">
        <f t="shared" si="6"/>
        <v>15.397360759053262</v>
      </c>
      <c r="J73" s="402">
        <f t="shared" si="6"/>
        <v>13.468089993452978</v>
      </c>
      <c r="K73" s="402">
        <f t="shared" si="6"/>
        <v>13.249079394902704</v>
      </c>
      <c r="L73" s="402">
        <f t="shared" si="6"/>
        <v>13.746239735697159</v>
      </c>
      <c r="M73" s="402">
        <f t="shared" si="6"/>
        <v>12.852917473116914</v>
      </c>
      <c r="N73" s="402">
        <f t="shared" si="6"/>
        <v>13.222130790762829</v>
      </c>
      <c r="O73" s="402">
        <f t="shared" si="6"/>
        <v>13.244364441917476</v>
      </c>
      <c r="P73" s="402"/>
      <c r="Q73" s="402"/>
      <c r="R73" s="402"/>
      <c r="S73" s="402"/>
      <c r="T73" s="402"/>
      <c r="U73" s="402"/>
      <c r="V73" s="402">
        <f>SUM(V45:V47)</f>
        <v>13.4</v>
      </c>
      <c r="W73" s="402">
        <f>SUM(W45:W47)</f>
        <v>13.4</v>
      </c>
      <c r="X73" s="402">
        <f>SUM(X45:X47)</f>
        <v>12.148330221669049</v>
      </c>
      <c r="Y73" s="402">
        <f>SUM(Y45:Y47)</f>
        <v>13.572157031459771</v>
      </c>
      <c r="Z73" s="402">
        <f>SUM(Z45:Z47)</f>
        <v>13.307691477586516</v>
      </c>
      <c r="AA73" s="138">
        <f t="shared" si="0"/>
        <v>6.9364789955457251E-3</v>
      </c>
      <c r="AB73" s="138">
        <f t="shared" si="1"/>
        <v>6.9364789955457251E-3</v>
      </c>
      <c r="AC73" s="401"/>
    </row>
    <row r="74" spans="1:30" s="389" customFormat="1" x14ac:dyDescent="0.3">
      <c r="A74" s="409" t="s">
        <v>388</v>
      </c>
      <c r="B74" s="402">
        <f t="shared" ref="B74:O74" si="7">B49+B51+B52+B53+B54+B55</f>
        <v>55.253455053581817</v>
      </c>
      <c r="C74" s="402">
        <f t="shared" si="7"/>
        <v>56.366963528849624</v>
      </c>
      <c r="D74" s="402">
        <f t="shared" si="7"/>
        <v>53.909609119835025</v>
      </c>
      <c r="E74" s="402">
        <f t="shared" si="7"/>
        <v>54.110672037437986</v>
      </c>
      <c r="F74" s="402">
        <f t="shared" si="7"/>
        <v>53.668310580824709</v>
      </c>
      <c r="G74" s="402">
        <f t="shared" si="7"/>
        <v>53.391550196536372</v>
      </c>
      <c r="H74" s="402">
        <f t="shared" si="7"/>
        <v>55.008045889862494</v>
      </c>
      <c r="I74" s="402">
        <f t="shared" si="7"/>
        <v>54.36176497757171</v>
      </c>
      <c r="J74" s="402">
        <f t="shared" si="7"/>
        <v>52.308644287523308</v>
      </c>
      <c r="K74" s="402">
        <f t="shared" si="7"/>
        <v>51.924633603929465</v>
      </c>
      <c r="L74" s="402">
        <f t="shared" si="7"/>
        <v>55.059588108036451</v>
      </c>
      <c r="M74" s="402">
        <f t="shared" si="7"/>
        <v>56.255956247329507</v>
      </c>
      <c r="N74" s="402">
        <f t="shared" si="7"/>
        <v>53.258591197801536</v>
      </c>
      <c r="O74" s="402">
        <f t="shared" si="7"/>
        <v>53.251267298076343</v>
      </c>
      <c r="P74" s="402"/>
      <c r="Q74" s="402"/>
      <c r="R74" s="402"/>
      <c r="S74" s="402"/>
      <c r="T74" s="402"/>
      <c r="U74" s="402"/>
      <c r="V74" s="402">
        <f>V49+V51+V52+V53+V54+V55</f>
        <v>53.199999999999996</v>
      </c>
      <c r="W74" s="402">
        <f>W49+W51+W52+W53+W54+W55</f>
        <v>55.86</v>
      </c>
      <c r="X74" s="388">
        <f>X49+X51+X52+X53+X54+X55</f>
        <v>54.661802064105842</v>
      </c>
      <c r="Y74" s="388">
        <f>Y49+Y51+Y52+Y53+Y54+Y55</f>
        <v>53.747663186463726</v>
      </c>
      <c r="Z74" s="388">
        <f>Z49+Z51+Z52+Z53+Z54+Z55</f>
        <v>53.761482688924048</v>
      </c>
      <c r="AA74" s="138">
        <f t="shared" si="0"/>
        <v>-1.0443958403694276E-2</v>
      </c>
      <c r="AB74" s="138">
        <f t="shared" si="1"/>
        <v>3.9033843676121061E-2</v>
      </c>
      <c r="AC74" s="401"/>
    </row>
    <row r="75" spans="1:30" s="389" customFormat="1" x14ac:dyDescent="0.3">
      <c r="A75" s="407" t="s">
        <v>389</v>
      </c>
      <c r="B75" s="402">
        <f t="shared" ref="B75:O75" si="8">B56+B57+B58+B59</f>
        <v>34.698739756172344</v>
      </c>
      <c r="C75" s="402">
        <f t="shared" si="8"/>
        <v>33.657770656839929</v>
      </c>
      <c r="D75" s="402">
        <f t="shared" si="8"/>
        <v>32.568862976474158</v>
      </c>
      <c r="E75" s="402">
        <f t="shared" si="8"/>
        <v>31.998593610633577</v>
      </c>
      <c r="F75" s="402">
        <f t="shared" si="8"/>
        <v>31.642332754075966</v>
      </c>
      <c r="G75" s="402">
        <f t="shared" si="8"/>
        <v>33.511658328592723</v>
      </c>
      <c r="H75" s="402">
        <f t="shared" si="8"/>
        <v>35.367612099820327</v>
      </c>
      <c r="I75" s="402">
        <f t="shared" si="8"/>
        <v>33.740201043538129</v>
      </c>
      <c r="J75" s="402">
        <f t="shared" si="8"/>
        <v>33.529978713385781</v>
      </c>
      <c r="K75" s="402">
        <f t="shared" si="8"/>
        <v>32.631108518321525</v>
      </c>
      <c r="L75" s="402">
        <f t="shared" si="8"/>
        <v>32.064557055542657</v>
      </c>
      <c r="M75" s="402">
        <f t="shared" si="8"/>
        <v>29.20570196298728</v>
      </c>
      <c r="N75" s="402">
        <f t="shared" si="8"/>
        <v>31.207230795198022</v>
      </c>
      <c r="O75" s="402">
        <f t="shared" si="8"/>
        <v>31.28132694579827</v>
      </c>
      <c r="P75" s="402"/>
      <c r="Q75" s="402"/>
      <c r="R75" s="402"/>
      <c r="S75" s="402"/>
      <c r="T75" s="402"/>
      <c r="U75" s="402"/>
      <c r="V75" s="402">
        <f>V56+V57+V58+V59</f>
        <v>31.8</v>
      </c>
      <c r="W75" s="402">
        <f>W56+W57+W58+W59</f>
        <v>33.39</v>
      </c>
      <c r="X75" s="388">
        <f>X56+X57+X58+X59</f>
        <v>32.913259950839191</v>
      </c>
      <c r="Y75" s="388">
        <f>Y56+Y57+Y58+Y59</f>
        <v>33.558356587882585</v>
      </c>
      <c r="Z75" s="388">
        <f>Z56+Z57+Z58+Z59</f>
        <v>31.72771540908705</v>
      </c>
      <c r="AA75" s="138">
        <f t="shared" si="0"/>
        <v>2.2782791001789704E-3</v>
      </c>
      <c r="AB75" s="138">
        <f t="shared" si="1"/>
        <v>5.2392193055188052E-2</v>
      </c>
      <c r="AC75" s="401"/>
    </row>
    <row r="76" spans="1:30" s="389" customFormat="1" x14ac:dyDescent="0.3">
      <c r="A76" s="406" t="s">
        <v>390</v>
      </c>
      <c r="B76" s="402">
        <f t="shared" ref="B76:O76" si="9">B60+B61+B62+B63</f>
        <v>85.281952716996869</v>
      </c>
      <c r="C76" s="402">
        <f t="shared" si="9"/>
        <v>83.017832110945065</v>
      </c>
      <c r="D76" s="402">
        <f t="shared" si="9"/>
        <v>83.316534100606958</v>
      </c>
      <c r="E76" s="402">
        <f t="shared" si="9"/>
        <v>82.362184175683666</v>
      </c>
      <c r="F76" s="402">
        <f t="shared" si="9"/>
        <v>83.988871919809284</v>
      </c>
      <c r="G76" s="402">
        <f t="shared" si="9"/>
        <v>84.772229279150551</v>
      </c>
      <c r="H76" s="402">
        <f t="shared" si="9"/>
        <v>84.331748117707036</v>
      </c>
      <c r="I76" s="402">
        <f t="shared" si="9"/>
        <v>84.220536985481232</v>
      </c>
      <c r="J76" s="402">
        <f t="shared" si="9"/>
        <v>86.708807690008669</v>
      </c>
      <c r="K76" s="402">
        <f t="shared" si="9"/>
        <v>85.8</v>
      </c>
      <c r="L76" s="402">
        <f t="shared" si="9"/>
        <v>84.6</v>
      </c>
      <c r="M76" s="402">
        <f t="shared" si="9"/>
        <v>84.47</v>
      </c>
      <c r="N76" s="402">
        <f t="shared" si="9"/>
        <v>84.3</v>
      </c>
      <c r="O76" s="402">
        <f t="shared" si="9"/>
        <v>83.100000000000009</v>
      </c>
      <c r="P76" s="402"/>
      <c r="Q76" s="402"/>
      <c r="R76" s="402"/>
      <c r="S76" s="402"/>
      <c r="T76" s="402"/>
      <c r="U76" s="402"/>
      <c r="V76" s="402">
        <f>V60+V61+V62+V63</f>
        <v>80</v>
      </c>
      <c r="W76" s="402">
        <f>W60+W61+W62+W63</f>
        <v>74.899999999999991</v>
      </c>
      <c r="X76" s="388">
        <f>X60+X61+X62+X63</f>
        <v>83.593475004808369</v>
      </c>
      <c r="Y76" s="388">
        <f>Y60+Y61+Y62+Y63</f>
        <v>84.804438798431363</v>
      </c>
      <c r="Z76" s="388">
        <f>Z60+Z61+Z62+Z63</f>
        <v>85.175761538001737</v>
      </c>
      <c r="AA76" s="138">
        <f t="shared" si="0"/>
        <v>-6.0765662021026401E-2</v>
      </c>
      <c r="AB76" s="138">
        <f t="shared" si="1"/>
        <v>-0.12064185106718606</v>
      </c>
      <c r="AC76" s="401"/>
    </row>
    <row r="77" spans="1:30" s="508" customFormat="1" x14ac:dyDescent="0.3">
      <c r="A77" s="569" t="s">
        <v>610</v>
      </c>
      <c r="B77" s="557"/>
      <c r="C77" s="557"/>
      <c r="D77" s="557"/>
      <c r="E77" s="557"/>
      <c r="F77" s="557"/>
      <c r="G77" s="557"/>
      <c r="H77" s="557"/>
      <c r="I77" s="557"/>
      <c r="J77" s="557"/>
      <c r="K77" s="557"/>
      <c r="L77" s="557"/>
      <c r="M77" s="557"/>
      <c r="N77" s="557"/>
      <c r="O77" s="557"/>
      <c r="P77" s="557"/>
      <c r="Q77" s="557"/>
      <c r="R77" s="557"/>
      <c r="S77" s="557"/>
      <c r="T77" s="557"/>
      <c r="U77" s="557"/>
      <c r="V77" s="557"/>
      <c r="W77" s="557"/>
      <c r="X77" s="558"/>
      <c r="Y77" s="558"/>
      <c r="Z77" s="558"/>
      <c r="AA77" s="285"/>
      <c r="AB77" s="285"/>
      <c r="AC77" s="401"/>
    </row>
    <row r="79" spans="1:30" x14ac:dyDescent="0.3">
      <c r="A79" s="90" t="s">
        <v>531</v>
      </c>
      <c r="B79" s="199"/>
      <c r="C79" s="119">
        <v>2010</v>
      </c>
      <c r="D79" s="377">
        <v>2011</v>
      </c>
      <c r="E79" s="377">
        <v>2012</v>
      </c>
      <c r="F79" s="377">
        <v>2013</v>
      </c>
      <c r="G79" s="377">
        <v>2014</v>
      </c>
      <c r="H79" s="377">
        <v>2015</v>
      </c>
      <c r="I79" s="377">
        <v>2016</v>
      </c>
      <c r="J79" s="377">
        <v>2017</v>
      </c>
      <c r="K79" s="377">
        <v>2018</v>
      </c>
      <c r="L79" s="377">
        <v>2019</v>
      </c>
      <c r="M79" s="377">
        <v>2020</v>
      </c>
      <c r="N79" s="377">
        <v>2021</v>
      </c>
      <c r="O79" s="377">
        <v>2022</v>
      </c>
      <c r="P79" s="377">
        <v>2023</v>
      </c>
      <c r="Q79" s="377">
        <v>2024</v>
      </c>
      <c r="R79" s="377">
        <v>2025</v>
      </c>
      <c r="S79" s="377">
        <v>2026</v>
      </c>
      <c r="T79" s="377">
        <v>2027</v>
      </c>
      <c r="U79" s="377">
        <v>2028</v>
      </c>
      <c r="V79" s="377">
        <v>2029</v>
      </c>
      <c r="W79" s="378">
        <v>2030</v>
      </c>
    </row>
    <row r="80" spans="1:30" x14ac:dyDescent="0.3">
      <c r="A80" s="171" t="s">
        <v>434</v>
      </c>
      <c r="B80" s="471" t="s">
        <v>373</v>
      </c>
      <c r="C80" s="370">
        <f t="shared" ref="C80:P80" si="10">SUM(B42:B44)</f>
        <v>113.50000000000001</v>
      </c>
      <c r="D80" s="336">
        <f t="shared" si="10"/>
        <v>113.69999999999999</v>
      </c>
      <c r="E80" s="336">
        <f t="shared" si="10"/>
        <v>112.7</v>
      </c>
      <c r="F80" s="336">
        <f t="shared" si="10"/>
        <v>113.5</v>
      </c>
      <c r="G80" s="336">
        <f t="shared" si="10"/>
        <v>118.4</v>
      </c>
      <c r="H80" s="336">
        <f t="shared" si="10"/>
        <v>113</v>
      </c>
      <c r="I80" s="336">
        <f t="shared" si="10"/>
        <v>113.5</v>
      </c>
      <c r="J80" s="336">
        <f t="shared" si="10"/>
        <v>115.49999999999999</v>
      </c>
      <c r="K80" s="336">
        <f t="shared" si="10"/>
        <v>119.89999999999999</v>
      </c>
      <c r="L80" s="336">
        <f t="shared" si="10"/>
        <v>119.4</v>
      </c>
      <c r="M80" s="336">
        <f t="shared" si="10"/>
        <v>120.80000000000001</v>
      </c>
      <c r="N80" s="336">
        <f t="shared" si="10"/>
        <v>116.3</v>
      </c>
      <c r="O80" s="336">
        <f t="shared" si="10"/>
        <v>116.7</v>
      </c>
      <c r="P80" s="336">
        <f t="shared" si="10"/>
        <v>116.71250000000001</v>
      </c>
      <c r="Q80" s="336"/>
      <c r="R80" s="336"/>
      <c r="S80" s="336"/>
      <c r="T80" s="336"/>
      <c r="U80" s="336"/>
      <c r="V80" s="336"/>
      <c r="W80" s="337"/>
    </row>
    <row r="81" spans="1:23" x14ac:dyDescent="0.3">
      <c r="A81" s="24"/>
      <c r="B81" s="472" t="s">
        <v>626</v>
      </c>
      <c r="C81" s="371"/>
      <c r="D81" s="190"/>
      <c r="E81" s="190"/>
      <c r="F81" s="190"/>
      <c r="G81" s="190"/>
      <c r="H81" s="190"/>
      <c r="I81" s="190"/>
      <c r="J81" s="190"/>
      <c r="K81" s="190"/>
      <c r="L81" s="190"/>
      <c r="M81" s="190"/>
      <c r="N81" s="190"/>
      <c r="O81" s="190"/>
      <c r="P81" s="190">
        <f>P80</f>
        <v>116.71250000000001</v>
      </c>
      <c r="Q81" s="190">
        <f>$W$81+6*($P$81-$W$81)/7</f>
        <v>116.72500000000001</v>
      </c>
      <c r="R81" s="190">
        <f>$W$81+5*($P$81-$W$81)/7</f>
        <v>116.7375</v>
      </c>
      <c r="S81" s="190">
        <f>$W$81+4*($P$81-$W$81)/7</f>
        <v>116.75</v>
      </c>
      <c r="T81" s="190">
        <f>$W$81+3*($P$81-$W$81)/7</f>
        <v>116.7625</v>
      </c>
      <c r="U81" s="190">
        <f>$W$81+2*($P$81-$W$81)/7</f>
        <v>116.77500000000001</v>
      </c>
      <c r="V81" s="190">
        <f>$W$81+1*($P$81-$W$81)/7</f>
        <v>116.78749999999999</v>
      </c>
      <c r="W81" s="364">
        <f>SUM(V42:V44)</f>
        <v>116.8</v>
      </c>
    </row>
    <row r="82" spans="1:23" x14ac:dyDescent="0.3">
      <c r="A82" s="25"/>
      <c r="B82" s="473" t="s">
        <v>524</v>
      </c>
      <c r="C82" s="372"/>
      <c r="D82" s="339"/>
      <c r="E82" s="339"/>
      <c r="F82" s="339"/>
      <c r="G82" s="339"/>
      <c r="H82" s="339"/>
      <c r="I82" s="339"/>
      <c r="J82" s="339"/>
      <c r="K82" s="339"/>
      <c r="L82" s="339"/>
      <c r="M82" s="339"/>
      <c r="N82" s="339"/>
      <c r="O82" s="339"/>
      <c r="P82" s="339">
        <f>P80</f>
        <v>116.71250000000001</v>
      </c>
      <c r="Q82" s="339">
        <f>$W$82+6*($P$82-$W$82)/7</f>
        <v>117.55928571428572</v>
      </c>
      <c r="R82" s="339">
        <f>$W$82+5*($P$82-$W$82)/7</f>
        <v>118.40607142857144</v>
      </c>
      <c r="S82" s="339">
        <f>$W$82+4*($P$82-$W$82)/7</f>
        <v>119.25285714285715</v>
      </c>
      <c r="T82" s="339">
        <f>$W$82+3*($P$82-$W$82)/7</f>
        <v>120.09964285714285</v>
      </c>
      <c r="U82" s="339">
        <f>$W$82+2*($P$82-$W$82)/7</f>
        <v>120.94642857142857</v>
      </c>
      <c r="V82" s="339">
        <f>$W$82+1*($P$82-$W$82)/7</f>
        <v>121.79321428571428</v>
      </c>
      <c r="W82" s="340">
        <f>SUM(W42:W44)</f>
        <v>122.64</v>
      </c>
    </row>
    <row r="83" spans="1:23" x14ac:dyDescent="0.3">
      <c r="A83" s="335" t="s">
        <v>602</v>
      </c>
      <c r="B83" s="471" t="s">
        <v>373</v>
      </c>
      <c r="C83" s="370">
        <f t="shared" ref="C83:P83" si="11">SUM(B45:B47)</f>
        <v>12.075316369922525</v>
      </c>
      <c r="D83" s="336">
        <f t="shared" si="11"/>
        <v>11.384658350660498</v>
      </c>
      <c r="E83" s="336">
        <f t="shared" si="11"/>
        <v>13.30379757825863</v>
      </c>
      <c r="F83" s="336">
        <f t="shared" si="11"/>
        <v>12.83034239586549</v>
      </c>
      <c r="G83" s="336">
        <f t="shared" si="11"/>
        <v>11.147536413638093</v>
      </c>
      <c r="H83" s="336">
        <f t="shared" si="11"/>
        <v>13.160253684721855</v>
      </c>
      <c r="I83" s="336">
        <f t="shared" si="11"/>
        <v>14.687544306432667</v>
      </c>
      <c r="J83" s="336">
        <f t="shared" si="11"/>
        <v>15.397360759053262</v>
      </c>
      <c r="K83" s="336">
        <f t="shared" si="11"/>
        <v>13.468089993452978</v>
      </c>
      <c r="L83" s="336">
        <f t="shared" si="11"/>
        <v>13.249079394902704</v>
      </c>
      <c r="M83" s="336">
        <f t="shared" si="11"/>
        <v>13.746239735697159</v>
      </c>
      <c r="N83" s="336">
        <f t="shared" si="11"/>
        <v>12.852917473116914</v>
      </c>
      <c r="O83" s="336">
        <f t="shared" si="11"/>
        <v>13.222130790762829</v>
      </c>
      <c r="P83" s="336">
        <f t="shared" si="11"/>
        <v>13.244364441917476</v>
      </c>
      <c r="Q83" s="336"/>
      <c r="R83" s="336"/>
      <c r="S83" s="336"/>
      <c r="T83" s="336"/>
      <c r="U83" s="336"/>
      <c r="V83" s="336"/>
      <c r="W83" s="337"/>
    </row>
    <row r="84" spans="1:23" x14ac:dyDescent="0.3">
      <c r="A84" s="363"/>
      <c r="B84" s="472" t="s">
        <v>626</v>
      </c>
      <c r="C84" s="371"/>
      <c r="D84" s="190"/>
      <c r="E84" s="190"/>
      <c r="F84" s="190"/>
      <c r="G84" s="190"/>
      <c r="H84" s="190"/>
      <c r="I84" s="190"/>
      <c r="J84" s="190"/>
      <c r="K84" s="190"/>
      <c r="L84" s="190"/>
      <c r="M84" s="190"/>
      <c r="N84" s="190"/>
      <c r="O84" s="190"/>
      <c r="P84" s="190">
        <f>P83</f>
        <v>13.244364441917476</v>
      </c>
      <c r="Q84" s="190">
        <f>$W$84+6*($P$84-$W$84)/7</f>
        <v>13.266598093072123</v>
      </c>
      <c r="R84" s="190">
        <f>$W$84+5*($P$84-$W$84)/7</f>
        <v>13.288831744226769</v>
      </c>
      <c r="S84" s="190">
        <f>$W$84+4*($P$84-$W$84)/7</f>
        <v>13.311065395381416</v>
      </c>
      <c r="T84" s="190">
        <f>$W$84+3*($P$84-$W$84)/7</f>
        <v>13.333299046536061</v>
      </c>
      <c r="U84" s="190">
        <f>$W$84+2*($P$84-$W$84)/7</f>
        <v>13.355532697690707</v>
      </c>
      <c r="V84" s="190">
        <f>$W$84+1*($P$84-$W$84)/7</f>
        <v>13.377766348845354</v>
      </c>
      <c r="W84" s="364">
        <f>SUM(V45:V47)</f>
        <v>13.4</v>
      </c>
    </row>
    <row r="85" spans="1:23" x14ac:dyDescent="0.3">
      <c r="A85" s="338"/>
      <c r="B85" s="473" t="s">
        <v>524</v>
      </c>
      <c r="C85" s="372"/>
      <c r="D85" s="339"/>
      <c r="E85" s="339"/>
      <c r="F85" s="339"/>
      <c r="G85" s="339"/>
      <c r="H85" s="339"/>
      <c r="I85" s="339"/>
      <c r="J85" s="339"/>
      <c r="K85" s="339"/>
      <c r="L85" s="339"/>
      <c r="M85" s="339"/>
      <c r="N85" s="339"/>
      <c r="O85" s="339"/>
      <c r="P85" s="339">
        <f>P83</f>
        <v>13.244364441917476</v>
      </c>
      <c r="Q85" s="339">
        <f>$W$85+6*($P$85-$W$85)/7</f>
        <v>13.266598093072123</v>
      </c>
      <c r="R85" s="339">
        <f>$W$85+5*($P$85-$W$85)/7</f>
        <v>13.288831744226769</v>
      </c>
      <c r="S85" s="339">
        <f>$W$85+4*($P$85-$W$85)/7</f>
        <v>13.311065395381416</v>
      </c>
      <c r="T85" s="339">
        <f>$W$85+3*($P$85-$W$85)/7</f>
        <v>13.333299046536061</v>
      </c>
      <c r="U85" s="339">
        <f>$W$85+2*($P$85-$W$85)/7</f>
        <v>13.355532697690707</v>
      </c>
      <c r="V85" s="339">
        <f>$W$85+1*($P$85-$W$85)/7</f>
        <v>13.377766348845354</v>
      </c>
      <c r="W85" s="340">
        <f>SUM(W45:W47)</f>
        <v>13.4</v>
      </c>
    </row>
    <row r="86" spans="1:23" x14ac:dyDescent="0.3">
      <c r="A86" s="335" t="s">
        <v>137</v>
      </c>
      <c r="B86" s="471" t="s">
        <v>373</v>
      </c>
      <c r="C86" s="370">
        <f t="shared" ref="C86:P86" si="12">B48</f>
        <v>1.7</v>
      </c>
      <c r="D86" s="336">
        <f t="shared" si="12"/>
        <v>1.7</v>
      </c>
      <c r="E86" s="336">
        <f t="shared" si="12"/>
        <v>1.7</v>
      </c>
      <c r="F86" s="336">
        <f t="shared" si="12"/>
        <v>1.7</v>
      </c>
      <c r="G86" s="336">
        <f t="shared" si="12"/>
        <v>1.8</v>
      </c>
      <c r="H86" s="336">
        <f t="shared" si="12"/>
        <v>1.3</v>
      </c>
      <c r="I86" s="336">
        <f t="shared" si="12"/>
        <v>1.6</v>
      </c>
      <c r="J86" s="336">
        <f t="shared" si="12"/>
        <v>2</v>
      </c>
      <c r="K86" s="336">
        <f t="shared" si="12"/>
        <v>2.2999999999999998</v>
      </c>
      <c r="L86" s="336">
        <f t="shared" si="12"/>
        <v>2.5</v>
      </c>
      <c r="M86" s="336">
        <f t="shared" si="12"/>
        <v>2.5</v>
      </c>
      <c r="N86" s="336">
        <f t="shared" si="12"/>
        <v>2.1</v>
      </c>
      <c r="O86" s="336">
        <f t="shared" si="12"/>
        <v>2.6</v>
      </c>
      <c r="P86" s="336">
        <f t="shared" si="12"/>
        <v>2.65</v>
      </c>
      <c r="Q86" s="336"/>
      <c r="R86" s="336"/>
      <c r="S86" s="336"/>
      <c r="T86" s="336"/>
      <c r="U86" s="336"/>
      <c r="V86" s="336"/>
      <c r="W86" s="337"/>
    </row>
    <row r="87" spans="1:23" x14ac:dyDescent="0.3">
      <c r="A87" s="363"/>
      <c r="B87" s="472" t="s">
        <v>626</v>
      </c>
      <c r="C87" s="371"/>
      <c r="D87" s="190"/>
      <c r="E87" s="190"/>
      <c r="F87" s="190"/>
      <c r="G87" s="190"/>
      <c r="H87" s="190"/>
      <c r="I87" s="190"/>
      <c r="J87" s="190"/>
      <c r="K87" s="190"/>
      <c r="L87" s="190"/>
      <c r="M87" s="190"/>
      <c r="N87" s="190"/>
      <c r="O87" s="190"/>
      <c r="P87" s="190">
        <f>P86</f>
        <v>2.65</v>
      </c>
      <c r="Q87" s="190">
        <f>$W$87+6*($P$87-$W$87)/7</f>
        <v>2.6999999999999997</v>
      </c>
      <c r="R87" s="190">
        <f>$W$87+5*($P$87-$W$87)/7</f>
        <v>2.75</v>
      </c>
      <c r="S87" s="190">
        <f>$W$87+4*($P$87-$W$87)/7</f>
        <v>2.8</v>
      </c>
      <c r="T87" s="190">
        <f>$W$87+3*($P$87-$W$87)/7</f>
        <v>2.85</v>
      </c>
      <c r="U87" s="190">
        <f>$W$87+2*($P$87-$W$87)/7</f>
        <v>2.9</v>
      </c>
      <c r="V87" s="190">
        <f>$W$87+1*($P$87-$W$87)/7</f>
        <v>2.95</v>
      </c>
      <c r="W87" s="364">
        <f>V48</f>
        <v>3</v>
      </c>
    </row>
    <row r="88" spans="1:23" x14ac:dyDescent="0.3">
      <c r="A88" s="338"/>
      <c r="B88" s="473" t="s">
        <v>524</v>
      </c>
      <c r="C88" s="372"/>
      <c r="D88" s="339"/>
      <c r="E88" s="339"/>
      <c r="F88" s="339"/>
      <c r="G88" s="339"/>
      <c r="H88" s="339"/>
      <c r="I88" s="339"/>
      <c r="J88" s="339"/>
      <c r="K88" s="339"/>
      <c r="L88" s="339"/>
      <c r="M88" s="339"/>
      <c r="N88" s="339"/>
      <c r="O88" s="339"/>
      <c r="P88" s="339">
        <f>P86</f>
        <v>2.65</v>
      </c>
      <c r="Q88" s="339">
        <f>$W$88+6*($P$88-$W$88)/7</f>
        <v>2.7428571428571429</v>
      </c>
      <c r="R88" s="339">
        <f>$W$88+5*($P$88-$W$88)/7</f>
        <v>2.8357142857142859</v>
      </c>
      <c r="S88" s="339">
        <f>$W$88+4*($P$88-$W$88)/7</f>
        <v>2.9285714285714288</v>
      </c>
      <c r="T88" s="339">
        <f>$W$88+3*($P$88-$W$88)/7</f>
        <v>3.0214285714285714</v>
      </c>
      <c r="U88" s="339">
        <f>$W$88+2*($P$88-$W$88)/7</f>
        <v>3.1142857142857143</v>
      </c>
      <c r="V88" s="339">
        <f>$W$88+1*($P$88-$W$88)/7</f>
        <v>3.2071428571428573</v>
      </c>
      <c r="W88" s="340">
        <f>W48</f>
        <v>3.3000000000000003</v>
      </c>
    </row>
    <row r="89" spans="1:23" x14ac:dyDescent="0.3">
      <c r="A89" s="335" t="s">
        <v>517</v>
      </c>
      <c r="B89" s="471" t="s">
        <v>373</v>
      </c>
      <c r="C89" s="370">
        <f t="shared" ref="C89:P89" si="13">B49+SUM(B51:B55)</f>
        <v>55.253455053581817</v>
      </c>
      <c r="D89" s="336">
        <f t="shared" si="13"/>
        <v>56.366963528849624</v>
      </c>
      <c r="E89" s="336">
        <f t="shared" si="13"/>
        <v>53.909609119835032</v>
      </c>
      <c r="F89" s="336">
        <f t="shared" si="13"/>
        <v>54.110672037437986</v>
      </c>
      <c r="G89" s="336">
        <f t="shared" si="13"/>
        <v>53.668310580824709</v>
      </c>
      <c r="H89" s="336">
        <f t="shared" si="13"/>
        <v>53.391550196536372</v>
      </c>
      <c r="I89" s="336">
        <f t="shared" si="13"/>
        <v>55.008045889862494</v>
      </c>
      <c r="J89" s="336">
        <f t="shared" si="13"/>
        <v>54.361764977571703</v>
      </c>
      <c r="K89" s="336">
        <f t="shared" si="13"/>
        <v>52.308644287523308</v>
      </c>
      <c r="L89" s="336">
        <f t="shared" si="13"/>
        <v>51.924633603929465</v>
      </c>
      <c r="M89" s="336">
        <f t="shared" si="13"/>
        <v>55.059588108036458</v>
      </c>
      <c r="N89" s="336">
        <f t="shared" si="13"/>
        <v>56.255956247329507</v>
      </c>
      <c r="O89" s="336">
        <f t="shared" si="13"/>
        <v>53.258591197801543</v>
      </c>
      <c r="P89" s="336">
        <f t="shared" si="13"/>
        <v>53.251267298076336</v>
      </c>
      <c r="Q89" s="336"/>
      <c r="R89" s="336"/>
      <c r="S89" s="336"/>
      <c r="T89" s="336"/>
      <c r="U89" s="336"/>
      <c r="V89" s="336"/>
      <c r="W89" s="337"/>
    </row>
    <row r="90" spans="1:23" x14ac:dyDescent="0.3">
      <c r="A90" s="363" t="s">
        <v>379</v>
      </c>
      <c r="B90" s="472" t="s">
        <v>626</v>
      </c>
      <c r="C90" s="371"/>
      <c r="D90" s="190"/>
      <c r="E90" s="190"/>
      <c r="F90" s="190"/>
      <c r="G90" s="190"/>
      <c r="H90" s="190"/>
      <c r="I90" s="190"/>
      <c r="J90" s="190"/>
      <c r="K90" s="190"/>
      <c r="L90" s="190"/>
      <c r="M90" s="190"/>
      <c r="N90" s="190"/>
      <c r="O90" s="190"/>
      <c r="P90" s="190">
        <f>P89</f>
        <v>53.251267298076336</v>
      </c>
      <c r="Q90" s="190">
        <f>$W$90+6*($P$90-$W$90)/7</f>
        <v>53.243943398351142</v>
      </c>
      <c r="R90" s="190">
        <f>$W$90+5*($P$90-$W$90)/7</f>
        <v>53.236619498625956</v>
      </c>
      <c r="S90" s="190">
        <f>$W$90+4*($P$90-$W$90)/7</f>
        <v>53.229295598900762</v>
      </c>
      <c r="T90" s="190">
        <f>$W$90+3*($P$90-$W$90)/7</f>
        <v>53.221971699175569</v>
      </c>
      <c r="U90" s="190">
        <f>$W$90+2*($P$90-$W$90)/7</f>
        <v>53.214647799450375</v>
      </c>
      <c r="V90" s="190">
        <f>$W$90+1*($P$90-$W$90)/7</f>
        <v>53.207323899725189</v>
      </c>
      <c r="W90" s="364">
        <f>V49+SUM(V51:V55)</f>
        <v>53.199999999999996</v>
      </c>
    </row>
    <row r="91" spans="1:23" x14ac:dyDescent="0.3">
      <c r="A91" s="338"/>
      <c r="B91" s="473" t="s">
        <v>524</v>
      </c>
      <c r="C91" s="372"/>
      <c r="D91" s="339"/>
      <c r="E91" s="339"/>
      <c r="F91" s="339"/>
      <c r="G91" s="339"/>
      <c r="H91" s="339"/>
      <c r="I91" s="339"/>
      <c r="J91" s="339"/>
      <c r="K91" s="339"/>
      <c r="L91" s="339"/>
      <c r="M91" s="339"/>
      <c r="N91" s="339"/>
      <c r="O91" s="339"/>
      <c r="P91" s="339">
        <f>P89</f>
        <v>53.251267298076336</v>
      </c>
      <c r="Q91" s="339">
        <f>$W$91+6*($P$91-$W$91)/7</f>
        <v>53.623943398351145</v>
      </c>
      <c r="R91" s="339">
        <f>$W$91+5*($P$91-$W$91)/7</f>
        <v>53.996619498625954</v>
      </c>
      <c r="S91" s="339">
        <f>$W$91+4*($P$91-$W$91)/7</f>
        <v>54.369295598900763</v>
      </c>
      <c r="T91" s="339">
        <f>$W$91+3*($P$91-$W$91)/7</f>
        <v>54.741971699175572</v>
      </c>
      <c r="U91" s="339">
        <f>$W$91+2*($P$91-$W$91)/7</f>
        <v>55.114647799450381</v>
      </c>
      <c r="V91" s="339">
        <f>$W$91+1*($P$91-$W$91)/7</f>
        <v>55.48732389972519</v>
      </c>
      <c r="W91" s="340">
        <f>W49+SUM(W51:W55)</f>
        <v>55.86</v>
      </c>
    </row>
    <row r="92" spans="1:23" x14ac:dyDescent="0.3">
      <c r="A92" s="335" t="s">
        <v>518</v>
      </c>
      <c r="B92" s="471" t="s">
        <v>373</v>
      </c>
      <c r="C92" s="370">
        <f t="shared" ref="C92:P92" si="14">B50</f>
        <v>49.3</v>
      </c>
      <c r="D92" s="336">
        <f t="shared" si="14"/>
        <v>47.3</v>
      </c>
      <c r="E92" s="336">
        <f t="shared" si="14"/>
        <v>47.6</v>
      </c>
      <c r="F92" s="336">
        <f t="shared" si="14"/>
        <v>47.6</v>
      </c>
      <c r="G92" s="336">
        <f t="shared" si="14"/>
        <v>47.6</v>
      </c>
      <c r="H92" s="336">
        <f t="shared" si="14"/>
        <v>47.6</v>
      </c>
      <c r="I92" s="336">
        <f t="shared" si="14"/>
        <v>47.6</v>
      </c>
      <c r="J92" s="336">
        <f t="shared" si="14"/>
        <v>47.6</v>
      </c>
      <c r="K92" s="336">
        <f t="shared" si="14"/>
        <v>47.6</v>
      </c>
      <c r="L92" s="336">
        <f t="shared" si="14"/>
        <v>47.6</v>
      </c>
      <c r="M92" s="336">
        <f t="shared" si="14"/>
        <v>47.6</v>
      </c>
      <c r="N92" s="336">
        <f t="shared" si="14"/>
        <v>47.6</v>
      </c>
      <c r="O92" s="336">
        <f t="shared" si="14"/>
        <v>47.5</v>
      </c>
      <c r="P92" s="336">
        <f t="shared" si="14"/>
        <v>47.5</v>
      </c>
      <c r="Q92" s="336"/>
      <c r="R92" s="336"/>
      <c r="S92" s="336"/>
      <c r="T92" s="336"/>
      <c r="U92" s="336"/>
      <c r="V92" s="336"/>
      <c r="W92" s="337"/>
    </row>
    <row r="93" spans="1:23" x14ac:dyDescent="0.3">
      <c r="A93" s="363"/>
      <c r="B93" s="472" t="s">
        <v>626</v>
      </c>
      <c r="C93" s="371"/>
      <c r="D93" s="190"/>
      <c r="E93" s="190"/>
      <c r="F93" s="190"/>
      <c r="G93" s="190"/>
      <c r="H93" s="190"/>
      <c r="I93" s="190"/>
      <c r="J93" s="190"/>
      <c r="K93" s="190"/>
      <c r="L93" s="190"/>
      <c r="M93" s="190"/>
      <c r="N93" s="190"/>
      <c r="O93" s="190"/>
      <c r="P93" s="190">
        <f>P92</f>
        <v>47.5</v>
      </c>
      <c r="Q93" s="190">
        <f>$W$93+6*($P$93-$W$93)/7</f>
        <v>47.5</v>
      </c>
      <c r="R93" s="190">
        <f>$W$93+5*($P$93-$W$93)/7</f>
        <v>47.5</v>
      </c>
      <c r="S93" s="190">
        <f>$W$93+4*($P$93-$W$93)/7</f>
        <v>47.5</v>
      </c>
      <c r="T93" s="190">
        <f>$W$93+3*($P$93-$W$93)/7</f>
        <v>47.5</v>
      </c>
      <c r="U93" s="190">
        <f>$W$93+2*($P$93-$W$93)/7</f>
        <v>47.5</v>
      </c>
      <c r="V93" s="190">
        <f>$W$93+1*($P$93-$W$93)/7</f>
        <v>47.5</v>
      </c>
      <c r="W93" s="364">
        <f>V50</f>
        <v>47.5</v>
      </c>
    </row>
    <row r="94" spans="1:23" x14ac:dyDescent="0.3">
      <c r="A94" s="338"/>
      <c r="B94" s="473" t="s">
        <v>524</v>
      </c>
      <c r="C94" s="372"/>
      <c r="D94" s="339"/>
      <c r="E94" s="339"/>
      <c r="F94" s="339"/>
      <c r="G94" s="339"/>
      <c r="H94" s="339"/>
      <c r="I94" s="339"/>
      <c r="J94" s="339"/>
      <c r="K94" s="339"/>
      <c r="L94" s="339"/>
      <c r="M94" s="339"/>
      <c r="N94" s="339"/>
      <c r="O94" s="339"/>
      <c r="P94" s="339">
        <f>P92</f>
        <v>47.5</v>
      </c>
      <c r="Q94" s="339">
        <f>$W$94+6*($P$94-$W$94)/7</f>
        <v>47.5</v>
      </c>
      <c r="R94" s="339">
        <f>$W$94+5*($P$94-$W$94)/7</f>
        <v>47.5</v>
      </c>
      <c r="S94" s="339">
        <f>$W$94+4*($P$94-$W$94)/7</f>
        <v>47.5</v>
      </c>
      <c r="T94" s="339">
        <f>$W$94+3*($P$94-$W$94)/7</f>
        <v>47.5</v>
      </c>
      <c r="U94" s="339">
        <f>$W$94+2*($P$94-$W$94)/7</f>
        <v>47.5</v>
      </c>
      <c r="V94" s="339">
        <f>$W$94+1*($P$94-$W$94)/7</f>
        <v>47.5</v>
      </c>
      <c r="W94" s="340">
        <f>W50</f>
        <v>47.5</v>
      </c>
    </row>
    <row r="95" spans="1:23" x14ac:dyDescent="0.3">
      <c r="A95" s="335" t="s">
        <v>438</v>
      </c>
      <c r="B95" s="471" t="s">
        <v>373</v>
      </c>
      <c r="C95" s="370">
        <f t="shared" ref="C95:P95" si="15">SUM(B56:B59)</f>
        <v>34.698739756172344</v>
      </c>
      <c r="D95" s="336">
        <f t="shared" si="15"/>
        <v>33.657770656839929</v>
      </c>
      <c r="E95" s="336">
        <f t="shared" si="15"/>
        <v>32.568862976474158</v>
      </c>
      <c r="F95" s="336">
        <f t="shared" si="15"/>
        <v>31.998593610633577</v>
      </c>
      <c r="G95" s="336">
        <f t="shared" si="15"/>
        <v>31.642332754075966</v>
      </c>
      <c r="H95" s="336">
        <f t="shared" si="15"/>
        <v>33.511658328592723</v>
      </c>
      <c r="I95" s="336">
        <f t="shared" si="15"/>
        <v>35.367612099820327</v>
      </c>
      <c r="J95" s="336">
        <f t="shared" si="15"/>
        <v>33.740201043538129</v>
      </c>
      <c r="K95" s="336">
        <f t="shared" si="15"/>
        <v>33.529978713385781</v>
      </c>
      <c r="L95" s="336">
        <f t="shared" si="15"/>
        <v>32.631108518321525</v>
      </c>
      <c r="M95" s="336">
        <f t="shared" si="15"/>
        <v>32.064557055542657</v>
      </c>
      <c r="N95" s="336">
        <f t="shared" si="15"/>
        <v>29.20570196298728</v>
      </c>
      <c r="O95" s="336">
        <f t="shared" si="15"/>
        <v>31.207230795198022</v>
      </c>
      <c r="P95" s="336">
        <f t="shared" si="15"/>
        <v>31.28132694579827</v>
      </c>
      <c r="Q95" s="336"/>
      <c r="R95" s="336"/>
      <c r="S95" s="336"/>
      <c r="T95" s="336"/>
      <c r="U95" s="336"/>
      <c r="V95" s="336"/>
      <c r="W95" s="337"/>
    </row>
    <row r="96" spans="1:23" x14ac:dyDescent="0.3">
      <c r="A96" s="363"/>
      <c r="B96" s="472" t="s">
        <v>626</v>
      </c>
      <c r="C96" s="371"/>
      <c r="D96" s="190"/>
      <c r="E96" s="190"/>
      <c r="F96" s="190"/>
      <c r="G96" s="190"/>
      <c r="H96" s="190"/>
      <c r="I96" s="190"/>
      <c r="J96" s="190"/>
      <c r="K96" s="190"/>
      <c r="L96" s="190"/>
      <c r="M96" s="190"/>
      <c r="N96" s="190"/>
      <c r="O96" s="190"/>
      <c r="P96" s="190">
        <f>P95</f>
        <v>31.28132694579827</v>
      </c>
      <c r="Q96" s="190">
        <f>$W$96+6*($P$96-$W$96)/7</f>
        <v>31.355423096398518</v>
      </c>
      <c r="R96" s="190">
        <f>$W$96+5*($P$96-$W$96)/7</f>
        <v>31.429519246998765</v>
      </c>
      <c r="S96" s="190">
        <f>$W$96+4*($P$96-$W$96)/7</f>
        <v>31.503615397599013</v>
      </c>
      <c r="T96" s="190">
        <f>$W$96+3*($P$96-$W$96)/7</f>
        <v>31.577711548199257</v>
      </c>
      <c r="U96" s="190">
        <f>$W$96+2*($P$96-$W$96)/7</f>
        <v>31.651807698799505</v>
      </c>
      <c r="V96" s="190">
        <f>$W$96+1*($P$96-$W$96)/7</f>
        <v>31.725903849399753</v>
      </c>
      <c r="W96" s="364">
        <f>SUM(V56:V59)</f>
        <v>31.8</v>
      </c>
    </row>
    <row r="97" spans="1:23" x14ac:dyDescent="0.3">
      <c r="A97" s="338"/>
      <c r="B97" s="473" t="s">
        <v>524</v>
      </c>
      <c r="C97" s="372"/>
      <c r="D97" s="339"/>
      <c r="E97" s="339"/>
      <c r="F97" s="339"/>
      <c r="G97" s="339"/>
      <c r="H97" s="339"/>
      <c r="I97" s="339"/>
      <c r="J97" s="339"/>
      <c r="K97" s="339"/>
      <c r="L97" s="339"/>
      <c r="M97" s="339"/>
      <c r="N97" s="339"/>
      <c r="O97" s="339"/>
      <c r="P97" s="339">
        <f>P95</f>
        <v>31.28132694579827</v>
      </c>
      <c r="Q97" s="339">
        <f>$W$97+6*($P$97-$W$97)/7</f>
        <v>31.582565953541373</v>
      </c>
      <c r="R97" s="339">
        <f>$W$97+5*($P$97-$W$97)/7</f>
        <v>31.883804961284479</v>
      </c>
      <c r="S97" s="339">
        <f>$W$97+4*($P$97-$W$97)/7</f>
        <v>32.185043969027582</v>
      </c>
      <c r="T97" s="339">
        <f>$W$97+3*($P$97-$W$97)/7</f>
        <v>32.486282976770688</v>
      </c>
      <c r="U97" s="339">
        <f>$W$97+2*($P$97-$W$97)/7</f>
        <v>32.787521984513795</v>
      </c>
      <c r="V97" s="339">
        <f>$W$97+1*($P$97-$W$97)/7</f>
        <v>33.088760992256894</v>
      </c>
      <c r="W97" s="340">
        <f>SUM(W56:W59)</f>
        <v>33.39</v>
      </c>
    </row>
    <row r="98" spans="1:23" x14ac:dyDescent="0.3">
      <c r="A98" s="341" t="s">
        <v>519</v>
      </c>
      <c r="B98" s="471" t="s">
        <v>373</v>
      </c>
      <c r="C98" s="370">
        <f t="shared" ref="C98:P98" si="16">B60+B63</f>
        <v>28.367252011303446</v>
      </c>
      <c r="D98" s="336">
        <f t="shared" si="16"/>
        <v>27.763055029658545</v>
      </c>
      <c r="E98" s="336">
        <f t="shared" si="16"/>
        <v>27.207872640787983</v>
      </c>
      <c r="F98" s="336">
        <f t="shared" si="16"/>
        <v>26.277291710420187</v>
      </c>
      <c r="G98" s="336">
        <f t="shared" si="16"/>
        <v>26.595251641239237</v>
      </c>
      <c r="H98" s="336">
        <f t="shared" si="16"/>
        <v>26.076760794694021</v>
      </c>
      <c r="I98" s="336">
        <f t="shared" si="16"/>
        <v>25.786972867984524</v>
      </c>
      <c r="J98" s="336">
        <f t="shared" si="16"/>
        <v>25.340054153569824</v>
      </c>
      <c r="K98" s="336">
        <f t="shared" si="16"/>
        <v>25.8</v>
      </c>
      <c r="L98" s="336">
        <f t="shared" si="16"/>
        <v>25.5</v>
      </c>
      <c r="M98" s="336">
        <f t="shared" si="16"/>
        <v>24.5</v>
      </c>
      <c r="N98" s="336">
        <f t="shared" si="16"/>
        <v>24.47</v>
      </c>
      <c r="O98" s="336">
        <f t="shared" si="16"/>
        <v>24.3</v>
      </c>
      <c r="P98" s="336">
        <f t="shared" si="16"/>
        <v>23.5</v>
      </c>
      <c r="Q98" s="336"/>
      <c r="R98" s="336"/>
      <c r="S98" s="336"/>
      <c r="T98" s="336"/>
      <c r="U98" s="336"/>
      <c r="V98" s="336"/>
      <c r="W98" s="337"/>
    </row>
    <row r="99" spans="1:23" x14ac:dyDescent="0.3">
      <c r="A99" s="365" t="s">
        <v>520</v>
      </c>
      <c r="B99" s="472" t="s">
        <v>626</v>
      </c>
      <c r="C99" s="371"/>
      <c r="D99" s="190"/>
      <c r="E99" s="190"/>
      <c r="F99" s="190"/>
      <c r="G99" s="190"/>
      <c r="H99" s="190"/>
      <c r="I99" s="190"/>
      <c r="J99" s="190"/>
      <c r="K99" s="190"/>
      <c r="L99" s="190"/>
      <c r="M99" s="190"/>
      <c r="N99" s="190"/>
      <c r="O99" s="190"/>
      <c r="P99" s="190">
        <f>P98</f>
        <v>23.5</v>
      </c>
      <c r="Q99" s="190">
        <f>$W$99+6*($P$99-$W$99)/7</f>
        <v>23.285714285714285</v>
      </c>
      <c r="R99" s="190">
        <f>$W$99+5*($P$98-$W$99)/7</f>
        <v>23.071428571428573</v>
      </c>
      <c r="S99" s="190">
        <f>$W$99+4*($P$98-$W$99)/7</f>
        <v>22.857142857142858</v>
      </c>
      <c r="T99" s="190">
        <f>$W$99+3*($P$98-$W$99)/7</f>
        <v>22.642857142857142</v>
      </c>
      <c r="U99" s="190">
        <f>$W$99+2*($P$98-$W$99)/7</f>
        <v>22.428571428571427</v>
      </c>
      <c r="V99" s="190">
        <f>$W$99+1*($P$98-$W$99)/7</f>
        <v>22.214285714285715</v>
      </c>
      <c r="W99" s="364">
        <f>V60+V63</f>
        <v>22</v>
      </c>
    </row>
    <row r="100" spans="1:23" x14ac:dyDescent="0.3">
      <c r="A100" s="342"/>
      <c r="B100" s="473" t="s">
        <v>524</v>
      </c>
      <c r="C100" s="372"/>
      <c r="D100" s="339"/>
      <c r="E100" s="339"/>
      <c r="F100" s="339"/>
      <c r="G100" s="339"/>
      <c r="H100" s="339"/>
      <c r="I100" s="339"/>
      <c r="J100" s="339"/>
      <c r="K100" s="339"/>
      <c r="L100" s="339"/>
      <c r="M100" s="339"/>
      <c r="N100" s="339"/>
      <c r="O100" s="339"/>
      <c r="P100" s="339">
        <f>P98</f>
        <v>23.5</v>
      </c>
      <c r="Q100" s="339">
        <f>$W$100+6*($P$98-$W$100)/7</f>
        <v>22.971428571428572</v>
      </c>
      <c r="R100" s="339">
        <f>$W$100+5*($P$98-$W$100)/7</f>
        <v>22.442857142857143</v>
      </c>
      <c r="S100" s="339">
        <f>$W$100+4*($P$98-$W$100)/7</f>
        <v>21.914285714285715</v>
      </c>
      <c r="T100" s="339">
        <f>$W$100+3*($P$98-$W$100)/7</f>
        <v>21.385714285714286</v>
      </c>
      <c r="U100" s="339">
        <f>$W$100+2*($P$98-$W$100)/7</f>
        <v>20.857142857142858</v>
      </c>
      <c r="V100" s="339">
        <f>$W$100+1*($P$98-$W$100)/7</f>
        <v>20.328571428571429</v>
      </c>
      <c r="W100" s="340">
        <f>W60+W63</f>
        <v>19.8</v>
      </c>
    </row>
    <row r="101" spans="1:23" x14ac:dyDescent="0.3">
      <c r="A101" s="341" t="s">
        <v>521</v>
      </c>
      <c r="B101" s="471" t="s">
        <v>373</v>
      </c>
      <c r="C101" s="370">
        <f t="shared" ref="C101:P101" si="17">B61+B62</f>
        <v>56.91470070569342</v>
      </c>
      <c r="D101" s="336">
        <f t="shared" si="17"/>
        <v>55.254777081286505</v>
      </c>
      <c r="E101" s="336">
        <f t="shared" si="17"/>
        <v>56.108661459818968</v>
      </c>
      <c r="F101" s="336">
        <f t="shared" si="17"/>
        <v>56.084892465263493</v>
      </c>
      <c r="G101" s="336">
        <f t="shared" si="17"/>
        <v>57.393620278570054</v>
      </c>
      <c r="H101" s="336">
        <f t="shared" si="17"/>
        <v>58.695468484456534</v>
      </c>
      <c r="I101" s="336">
        <f t="shared" si="17"/>
        <v>58.544775249722505</v>
      </c>
      <c r="J101" s="336">
        <f t="shared" si="17"/>
        <v>58.880482831911401</v>
      </c>
      <c r="K101" s="336">
        <f t="shared" si="17"/>
        <v>60.908807690008665</v>
      </c>
      <c r="L101" s="336">
        <f t="shared" si="17"/>
        <v>60.3</v>
      </c>
      <c r="M101" s="336">
        <f t="shared" si="17"/>
        <v>60.099999999999994</v>
      </c>
      <c r="N101" s="336">
        <f t="shared" si="17"/>
        <v>60</v>
      </c>
      <c r="O101" s="336">
        <f t="shared" si="17"/>
        <v>60</v>
      </c>
      <c r="P101" s="336">
        <f t="shared" si="17"/>
        <v>59.6</v>
      </c>
      <c r="Q101" s="336"/>
      <c r="R101" s="336"/>
      <c r="S101" s="336"/>
      <c r="T101" s="336"/>
      <c r="U101" s="336"/>
      <c r="V101" s="336"/>
      <c r="W101" s="337"/>
    </row>
    <row r="102" spans="1:23" x14ac:dyDescent="0.3">
      <c r="A102" s="365" t="s">
        <v>522</v>
      </c>
      <c r="B102" s="472" t="s">
        <v>626</v>
      </c>
      <c r="C102" s="371"/>
      <c r="D102" s="190"/>
      <c r="E102" s="190"/>
      <c r="F102" s="190"/>
      <c r="G102" s="190"/>
      <c r="H102" s="190"/>
      <c r="I102" s="190"/>
      <c r="J102" s="190"/>
      <c r="K102" s="190"/>
      <c r="L102" s="190"/>
      <c r="M102" s="190"/>
      <c r="N102" s="190"/>
      <c r="O102" s="190"/>
      <c r="P102" s="190">
        <f>P101</f>
        <v>59.6</v>
      </c>
      <c r="Q102" s="190">
        <f>$W$102+6*($P$102-$W$102)/7</f>
        <v>59.371428571428574</v>
      </c>
      <c r="R102" s="190">
        <f>$W$102+5*($P$102-$W$102)/7</f>
        <v>59.142857142857146</v>
      </c>
      <c r="S102" s="190">
        <f>$W$102+4*($P$102-$W$102)/7</f>
        <v>58.914285714285718</v>
      </c>
      <c r="T102" s="190">
        <f>$W$102+3*($P$102-$W$102)/7</f>
        <v>58.685714285714283</v>
      </c>
      <c r="U102" s="190">
        <f>$W$102+2*($P$102-$W$102)/7</f>
        <v>58.457142857142856</v>
      </c>
      <c r="V102" s="190">
        <f>$W$102+1*($P$102-$W$102)/7</f>
        <v>58.228571428571428</v>
      </c>
      <c r="W102" s="364">
        <f>V61+V62</f>
        <v>58</v>
      </c>
    </row>
    <row r="103" spans="1:23" x14ac:dyDescent="0.3">
      <c r="A103" s="342"/>
      <c r="B103" s="473" t="s">
        <v>524</v>
      </c>
      <c r="C103" s="372"/>
      <c r="D103" s="339"/>
      <c r="E103" s="339"/>
      <c r="F103" s="339"/>
      <c r="G103" s="339"/>
      <c r="H103" s="339"/>
      <c r="I103" s="339"/>
      <c r="J103" s="339"/>
      <c r="K103" s="339"/>
      <c r="L103" s="339"/>
      <c r="M103" s="339"/>
      <c r="N103" s="339"/>
      <c r="O103" s="339"/>
      <c r="P103" s="339">
        <f>P101</f>
        <v>59.6</v>
      </c>
      <c r="Q103" s="339">
        <f>$W$103+6*($P$103-$W$103)/7</f>
        <v>58.957142857142856</v>
      </c>
      <c r="R103" s="339">
        <f>$W$103+5*($P$103-$W$103)/7</f>
        <v>58.314285714285717</v>
      </c>
      <c r="S103" s="339">
        <f>$W$103+4*($P$103-$W$103)/7</f>
        <v>57.671428571428571</v>
      </c>
      <c r="T103" s="339">
        <f>$W$103+3*($P$103-$W$103)/7</f>
        <v>57.028571428571425</v>
      </c>
      <c r="U103" s="339">
        <f>$W$103+2*($P$103-$W$103)/7</f>
        <v>56.385714285714279</v>
      </c>
      <c r="V103" s="339">
        <f>$W$103+1*($P$103-$W$103)/7</f>
        <v>55.74285714285714</v>
      </c>
      <c r="W103" s="340">
        <f>W61+W62</f>
        <v>55.099999999999994</v>
      </c>
    </row>
    <row r="104" spans="1:23" x14ac:dyDescent="0.3">
      <c r="A104" s="343" t="s">
        <v>523</v>
      </c>
      <c r="B104" s="471" t="s">
        <v>373</v>
      </c>
      <c r="C104" s="373">
        <f t="shared" ref="C104:P104" si="18">B64</f>
        <v>13.524617785779524</v>
      </c>
      <c r="D104" s="344">
        <f t="shared" si="18"/>
        <v>12.171288343897722</v>
      </c>
      <c r="E104" s="344">
        <f t="shared" si="18"/>
        <v>12.220020914292707</v>
      </c>
      <c r="F104" s="344">
        <f t="shared" si="18"/>
        <v>13.513925733026769</v>
      </c>
      <c r="G104" s="344">
        <f t="shared" si="18"/>
        <v>13.213180431526251</v>
      </c>
      <c r="H104" s="344">
        <f t="shared" si="18"/>
        <v>13.408560330305036</v>
      </c>
      <c r="I104" s="344">
        <f t="shared" si="18"/>
        <v>13.120296814924522</v>
      </c>
      <c r="J104" s="344">
        <f t="shared" si="18"/>
        <v>13.731868665175201</v>
      </c>
      <c r="K104" s="344">
        <f t="shared" si="18"/>
        <v>13.276739605409077</v>
      </c>
      <c r="L104" s="344">
        <f t="shared" si="18"/>
        <v>12.8</v>
      </c>
      <c r="M104" s="344">
        <f t="shared" si="18"/>
        <v>14.1</v>
      </c>
      <c r="N104" s="344">
        <f t="shared" si="18"/>
        <v>14.2</v>
      </c>
      <c r="O104" s="344">
        <f t="shared" si="18"/>
        <v>14.5</v>
      </c>
      <c r="P104" s="344">
        <f t="shared" si="18"/>
        <v>15</v>
      </c>
      <c r="Q104" s="344"/>
      <c r="R104" s="344"/>
      <c r="S104" s="344"/>
      <c r="T104" s="344"/>
      <c r="U104" s="344"/>
      <c r="V104" s="344"/>
      <c r="W104" s="345"/>
    </row>
    <row r="105" spans="1:23" x14ac:dyDescent="0.3">
      <c r="A105" s="369"/>
      <c r="B105" s="472" t="s">
        <v>626</v>
      </c>
      <c r="C105" s="374"/>
      <c r="D105" s="366"/>
      <c r="E105" s="366"/>
      <c r="F105" s="366"/>
      <c r="G105" s="366"/>
      <c r="H105" s="366"/>
      <c r="I105" s="366"/>
      <c r="J105" s="366"/>
      <c r="K105" s="366"/>
      <c r="L105" s="366"/>
      <c r="M105" s="366"/>
      <c r="N105" s="366"/>
      <c r="O105" s="366"/>
      <c r="P105" s="190">
        <f>P104</f>
        <v>15</v>
      </c>
      <c r="Q105" s="190">
        <f>$W$105+6*($P$105-$W$105)/7</f>
        <v>15</v>
      </c>
      <c r="R105" s="190">
        <f>$W$105+5*($P$105-$W$105)/7</f>
        <v>15</v>
      </c>
      <c r="S105" s="190">
        <f>$W$105+4*($P$105-$W$105)/7</f>
        <v>15</v>
      </c>
      <c r="T105" s="190">
        <f>$W$105+3*($P$105-$W$105)/7</f>
        <v>15</v>
      </c>
      <c r="U105" s="190">
        <f>$W$105+2*($P$105-$W$105)/7</f>
        <v>15</v>
      </c>
      <c r="V105" s="190">
        <f>$W$105+1*($P$105-$W$105)/7</f>
        <v>15</v>
      </c>
      <c r="W105" s="375">
        <f>V64</f>
        <v>15</v>
      </c>
    </row>
    <row r="106" spans="1:23" x14ac:dyDescent="0.3">
      <c r="A106" s="346"/>
      <c r="B106" s="473" t="s">
        <v>524</v>
      </c>
      <c r="C106" s="376"/>
      <c r="D106" s="347"/>
      <c r="E106" s="347"/>
      <c r="F106" s="347"/>
      <c r="G106" s="347"/>
      <c r="H106" s="347"/>
      <c r="I106" s="347"/>
      <c r="J106" s="347"/>
      <c r="K106" s="347"/>
      <c r="L106" s="347"/>
      <c r="M106" s="347"/>
      <c r="N106" s="347"/>
      <c r="O106" s="347"/>
      <c r="P106" s="339">
        <f>P104</f>
        <v>15</v>
      </c>
      <c r="Q106" s="339">
        <f>$W$106+6*($P$106-$W$106)/7</f>
        <v>14.957142857142857</v>
      </c>
      <c r="R106" s="339">
        <f>$W$106+5*($P$106-$W$106)/7</f>
        <v>14.914285714285715</v>
      </c>
      <c r="S106" s="339">
        <f>$W$106+4*($P$106-$W$106)/7</f>
        <v>14.871428571428572</v>
      </c>
      <c r="T106" s="339">
        <f>$W$106+3*($P$106-$W$106)/7</f>
        <v>14.828571428571427</v>
      </c>
      <c r="U106" s="339">
        <f>$W$106+2*($P$106-$W$106)/7</f>
        <v>14.785714285714285</v>
      </c>
      <c r="V106" s="339">
        <f>$W$106+1*($P$106-$W$106)/7</f>
        <v>14.742857142857142</v>
      </c>
      <c r="W106" s="348">
        <f>W64</f>
        <v>14.7</v>
      </c>
    </row>
    <row r="107" spans="1:23" x14ac:dyDescent="0.3">
      <c r="A107" s="343" t="s">
        <v>480</v>
      </c>
      <c r="B107" s="471" t="s">
        <v>373</v>
      </c>
      <c r="C107" s="373">
        <f t="shared" ref="C107:P107" si="19">B65</f>
        <v>356.90700585542027</v>
      </c>
      <c r="D107" s="344">
        <f t="shared" si="19"/>
        <v>356.01510984118306</v>
      </c>
      <c r="E107" s="344">
        <f t="shared" si="19"/>
        <v>354.72110650832559</v>
      </c>
      <c r="F107" s="344">
        <f t="shared" si="19"/>
        <v>353.93994538638594</v>
      </c>
      <c r="G107" s="344">
        <f t="shared" si="19"/>
        <v>360.13449215740792</v>
      </c>
      <c r="H107" s="344">
        <f t="shared" si="19"/>
        <v>355.08771550963172</v>
      </c>
      <c r="I107" s="344">
        <f t="shared" si="19"/>
        <v>347.27314324950345</v>
      </c>
      <c r="J107" s="344">
        <f t="shared" si="19"/>
        <v>346.41117043054464</v>
      </c>
      <c r="K107" s="344">
        <f t="shared" si="19"/>
        <v>345.21500000000003</v>
      </c>
      <c r="L107" s="344">
        <f t="shared" si="19"/>
        <v>367.89000000000004</v>
      </c>
      <c r="M107" s="344">
        <f t="shared" si="19"/>
        <v>354.35</v>
      </c>
      <c r="N107" s="344">
        <f t="shared" si="19"/>
        <v>368</v>
      </c>
      <c r="O107" s="344">
        <f t="shared" si="19"/>
        <v>362.1</v>
      </c>
      <c r="P107" s="344">
        <f t="shared" si="19"/>
        <v>362.5625</v>
      </c>
      <c r="Q107" s="344"/>
      <c r="R107" s="344"/>
      <c r="S107" s="344"/>
      <c r="T107" s="344"/>
      <c r="U107" s="344"/>
      <c r="V107" s="344"/>
      <c r="W107" s="345"/>
    </row>
    <row r="108" spans="1:23" x14ac:dyDescent="0.3">
      <c r="A108" s="369"/>
      <c r="B108" s="472" t="s">
        <v>626</v>
      </c>
      <c r="C108" s="374"/>
      <c r="D108" s="366"/>
      <c r="E108" s="366"/>
      <c r="F108" s="366"/>
      <c r="G108" s="366"/>
      <c r="H108" s="366"/>
      <c r="I108" s="366"/>
      <c r="J108" s="366"/>
      <c r="K108" s="366"/>
      <c r="L108" s="366"/>
      <c r="M108" s="366"/>
      <c r="N108" s="366"/>
      <c r="O108" s="366"/>
      <c r="P108" s="190">
        <f>P107</f>
        <v>362.5625</v>
      </c>
      <c r="Q108" s="190">
        <f>$W$108+6*($P$108-$W$108)/7</f>
        <v>362.19642857142856</v>
      </c>
      <c r="R108" s="190">
        <f>$W$108+5*($P$108-$W$108)/7</f>
        <v>361.83035714285717</v>
      </c>
      <c r="S108" s="190">
        <f>$W$108+4*($P$108-$W$108)/7</f>
        <v>361.46428571428572</v>
      </c>
      <c r="T108" s="190">
        <f>$W$108+3*($P$108-$W$108)/7</f>
        <v>361.09821428571428</v>
      </c>
      <c r="U108" s="190">
        <f>$W$108+2*($P$108-$W$108)/7</f>
        <v>360.73214285714283</v>
      </c>
      <c r="V108" s="190">
        <f>$W$108+1*($P$108-$W$108)/7</f>
        <v>360.36607142857144</v>
      </c>
      <c r="W108" s="375">
        <f>V65</f>
        <v>360</v>
      </c>
    </row>
    <row r="109" spans="1:23" x14ac:dyDescent="0.3">
      <c r="A109" s="346"/>
      <c r="B109" s="473" t="s">
        <v>524</v>
      </c>
      <c r="C109" s="376"/>
      <c r="D109" s="347"/>
      <c r="E109" s="347"/>
      <c r="F109" s="347"/>
      <c r="G109" s="347"/>
      <c r="H109" s="347"/>
      <c r="I109" s="347"/>
      <c r="J109" s="347"/>
      <c r="K109" s="347"/>
      <c r="L109" s="347"/>
      <c r="M109" s="347"/>
      <c r="N109" s="347"/>
      <c r="O109" s="347"/>
      <c r="P109" s="339">
        <f>P107</f>
        <v>362.5625</v>
      </c>
      <c r="Q109" s="339">
        <f>$W$109+6*($P$109-$W$109)/7</f>
        <v>357.05357142857144</v>
      </c>
      <c r="R109" s="339">
        <f>$W$109+5*($P$109-$W$109)/7</f>
        <v>351.54464285714283</v>
      </c>
      <c r="S109" s="339">
        <f>$W$109+4*($P$109-$W$109)/7</f>
        <v>346.03571428571428</v>
      </c>
      <c r="T109" s="339">
        <f>$W$109+3*($P$109-$W$109)/7</f>
        <v>340.52678571428572</v>
      </c>
      <c r="U109" s="339">
        <f>$W$109+2*($P$109-$W$109)/7</f>
        <v>335.01785714285717</v>
      </c>
      <c r="V109" s="339">
        <f>$W$109+1*($P$109-$W$109)/7</f>
        <v>329.50892857142856</v>
      </c>
      <c r="W109" s="348">
        <f>W65</f>
        <v>324</v>
      </c>
    </row>
    <row r="110" spans="1:23" x14ac:dyDescent="0.3">
      <c r="A110" s="568" t="s">
        <v>611</v>
      </c>
    </row>
  </sheetData>
  <mergeCells count="14">
    <mergeCell ref="B40:C40"/>
    <mergeCell ref="J1:W1"/>
    <mergeCell ref="J11:L11"/>
    <mergeCell ref="A1:D1"/>
    <mergeCell ref="D4:H5"/>
    <mergeCell ref="J6:L6"/>
    <mergeCell ref="J7:L7"/>
    <mergeCell ref="J8:L8"/>
    <mergeCell ref="J9:L9"/>
    <mergeCell ref="J10:L10"/>
    <mergeCell ref="J2:L2"/>
    <mergeCell ref="J3:L3"/>
    <mergeCell ref="J4:L4"/>
    <mergeCell ref="J5:L5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249"/>
  <sheetViews>
    <sheetView showGridLines="0" zoomScale="80" zoomScaleNormal="80" workbookViewId="0">
      <selection activeCell="D10" sqref="D10"/>
    </sheetView>
  </sheetViews>
  <sheetFormatPr baseColWidth="10" defaultRowHeight="14.4" x14ac:dyDescent="0.3"/>
  <cols>
    <col min="1" max="1" width="34" customWidth="1"/>
    <col min="2" max="2" width="11.77734375" customWidth="1"/>
    <col min="3" max="3" width="9.88671875" bestFit="1" customWidth="1"/>
    <col min="4" max="4" width="8.77734375" customWidth="1"/>
    <col min="5" max="5" width="9.21875" customWidth="1"/>
    <col min="6" max="6" width="9.33203125" bestFit="1" customWidth="1"/>
    <col min="7" max="7" width="8.88671875" bestFit="1" customWidth="1"/>
    <col min="8" max="8" width="9.5546875" bestFit="1" customWidth="1"/>
    <col min="9" max="9" width="9.33203125" customWidth="1"/>
    <col min="10" max="10" width="8.88671875" bestFit="1" customWidth="1"/>
    <col min="11" max="11" width="10.109375" customWidth="1"/>
    <col min="12" max="12" width="10" bestFit="1" customWidth="1"/>
    <col min="13" max="13" width="8.88671875" bestFit="1" customWidth="1"/>
    <col min="14" max="14" width="9.5546875" bestFit="1" customWidth="1"/>
    <col min="15" max="15" width="9.33203125" bestFit="1" customWidth="1"/>
    <col min="16" max="17" width="8.88671875" bestFit="1" customWidth="1"/>
    <col min="18" max="18" width="9.33203125" bestFit="1" customWidth="1"/>
    <col min="19" max="19" width="8.88671875" style="1" bestFit="1" customWidth="1"/>
    <col min="20" max="20" width="10.109375" style="1" bestFit="1" customWidth="1"/>
    <col min="21" max="22" width="10.109375" bestFit="1" customWidth="1"/>
    <col min="23" max="23" width="9.5546875" bestFit="1" customWidth="1"/>
    <col min="24" max="24" width="9.33203125" bestFit="1" customWidth="1"/>
    <col min="25" max="25" width="7.44140625" bestFit="1" customWidth="1"/>
    <col min="26" max="26" width="8.33203125" bestFit="1" customWidth="1"/>
    <col min="27" max="27" width="9.33203125" bestFit="1" customWidth="1"/>
    <col min="28" max="28" width="7.44140625" bestFit="1" customWidth="1"/>
    <col min="29" max="29" width="8.33203125" bestFit="1" customWidth="1"/>
    <col min="30" max="30" width="9.33203125" bestFit="1" customWidth="1"/>
    <col min="31" max="31" width="7.44140625" bestFit="1" customWidth="1"/>
    <col min="32" max="32" width="8.33203125" bestFit="1" customWidth="1"/>
    <col min="33" max="33" width="9.33203125" bestFit="1" customWidth="1"/>
    <col min="34" max="34" width="7.44140625" bestFit="1" customWidth="1"/>
    <col min="35" max="35" width="8.33203125" bestFit="1" customWidth="1"/>
    <col min="36" max="36" width="9.33203125" bestFit="1" customWidth="1"/>
    <col min="37" max="37" width="7.44140625" bestFit="1" customWidth="1"/>
    <col min="38" max="38" width="8.33203125" bestFit="1" customWidth="1"/>
    <col min="39" max="39" width="9.33203125" bestFit="1" customWidth="1"/>
    <col min="40" max="40" width="7.44140625" customWidth="1"/>
    <col min="41" max="41" width="8.33203125" bestFit="1" customWidth="1"/>
    <col min="42" max="42" width="9.33203125" bestFit="1" customWidth="1"/>
    <col min="43" max="43" width="7.44140625" bestFit="1" customWidth="1"/>
    <col min="44" max="44" width="8.33203125" style="1" bestFit="1" customWidth="1"/>
    <col min="45" max="45" width="9.33203125" bestFit="1" customWidth="1"/>
    <col min="46" max="46" width="7.44140625" bestFit="1" customWidth="1"/>
    <col min="47" max="47" width="8.33203125" bestFit="1" customWidth="1"/>
    <col min="48" max="48" width="9.33203125" bestFit="1" customWidth="1"/>
    <col min="49" max="49" width="7.44140625" bestFit="1" customWidth="1"/>
    <col min="50" max="50" width="8.33203125" bestFit="1" customWidth="1"/>
    <col min="51" max="51" width="9.33203125" bestFit="1" customWidth="1"/>
    <col min="52" max="52" width="7.44140625" bestFit="1" customWidth="1"/>
    <col min="53" max="53" width="8.33203125" bestFit="1" customWidth="1"/>
    <col min="54" max="54" width="9.33203125" bestFit="1" customWidth="1"/>
    <col min="55" max="55" width="7.44140625" bestFit="1" customWidth="1"/>
    <col min="56" max="56" width="8.33203125" bestFit="1" customWidth="1"/>
    <col min="57" max="57" width="9.33203125" bestFit="1" customWidth="1"/>
    <col min="58" max="58" width="7.44140625" bestFit="1" customWidth="1"/>
    <col min="59" max="59" width="8.33203125" bestFit="1" customWidth="1"/>
    <col min="60" max="60" width="9.33203125" bestFit="1" customWidth="1"/>
    <col min="61" max="61" width="7.44140625" bestFit="1" customWidth="1"/>
    <col min="62" max="62" width="8.33203125" bestFit="1" customWidth="1"/>
    <col min="63" max="63" width="9.33203125" bestFit="1" customWidth="1"/>
    <col min="64" max="64" width="7.44140625" bestFit="1" customWidth="1"/>
    <col min="65" max="65" width="8.33203125" bestFit="1" customWidth="1"/>
    <col min="66" max="66" width="9.33203125" bestFit="1" customWidth="1"/>
    <col min="67" max="67" width="7.44140625" bestFit="1" customWidth="1"/>
  </cols>
  <sheetData>
    <row r="1" spans="1:21" ht="28.8" customHeight="1" x14ac:dyDescent="0.3">
      <c r="A1" s="603" t="s">
        <v>606</v>
      </c>
      <c r="B1" s="604"/>
      <c r="C1" s="604"/>
      <c r="D1" s="604"/>
      <c r="E1" s="605"/>
      <c r="G1" s="526"/>
      <c r="H1" s="603" t="s">
        <v>558</v>
      </c>
      <c r="I1" s="604"/>
      <c r="J1" s="604"/>
      <c r="K1" s="605"/>
      <c r="M1" s="90" t="s">
        <v>439</v>
      </c>
      <c r="N1" s="232"/>
      <c r="O1" s="182"/>
      <c r="P1" s="182"/>
      <c r="Q1" s="182"/>
      <c r="R1" s="182"/>
      <c r="U1" s="182"/>
    </row>
    <row r="2" spans="1:21" ht="14.4" customHeight="1" x14ac:dyDescent="0.3">
      <c r="A2" s="394" t="s">
        <v>56</v>
      </c>
      <c r="B2" s="331">
        <v>0</v>
      </c>
      <c r="D2" s="182"/>
      <c r="E2" s="182"/>
      <c r="F2" s="182"/>
      <c r="G2" s="182"/>
      <c r="H2" s="606" t="s">
        <v>56</v>
      </c>
      <c r="I2" s="607"/>
      <c r="J2" s="608"/>
      <c r="K2" s="396">
        <v>0</v>
      </c>
      <c r="M2" s="615" t="s">
        <v>79</v>
      </c>
      <c r="N2" s="615"/>
      <c r="O2" s="525" t="s">
        <v>533</v>
      </c>
      <c r="P2" s="525" t="s">
        <v>449</v>
      </c>
      <c r="Q2" s="525" t="s">
        <v>450</v>
      </c>
      <c r="R2" s="182"/>
      <c r="U2" s="182"/>
    </row>
    <row r="3" spans="1:21" x14ac:dyDescent="0.3">
      <c r="A3" s="383" t="s">
        <v>532</v>
      </c>
      <c r="B3" s="140">
        <v>0</v>
      </c>
      <c r="C3" s="182"/>
      <c r="D3" s="182"/>
      <c r="E3" s="182"/>
      <c r="F3" s="182"/>
      <c r="G3" s="182"/>
      <c r="H3" s="606" t="s">
        <v>114</v>
      </c>
      <c r="I3" s="607"/>
      <c r="J3" s="608"/>
      <c r="K3" s="397">
        <v>0</v>
      </c>
      <c r="M3" s="615" t="s">
        <v>434</v>
      </c>
      <c r="N3" s="615"/>
      <c r="O3" s="108">
        <f>'Calcul R84'!P67+'Calcul R84'!P74+'Calcul R84'!P81</f>
        <v>484006</v>
      </c>
      <c r="P3" s="108">
        <v>500341</v>
      </c>
      <c r="Q3" s="112">
        <f>O3/P3</f>
        <v>0.9673522657547553</v>
      </c>
      <c r="R3" s="74"/>
      <c r="U3" s="182"/>
    </row>
    <row r="4" spans="1:21" x14ac:dyDescent="0.3">
      <c r="A4" s="384" t="s">
        <v>113</v>
      </c>
      <c r="B4" s="140">
        <v>0</v>
      </c>
      <c r="C4" s="182"/>
      <c r="D4" s="594" t="s">
        <v>382</v>
      </c>
      <c r="E4" s="595"/>
      <c r="F4" s="596"/>
      <c r="G4" s="182"/>
      <c r="H4" s="609" t="s">
        <v>113</v>
      </c>
      <c r="I4" s="610"/>
      <c r="J4" s="611"/>
      <c r="K4" s="256">
        <v>0</v>
      </c>
      <c r="M4" s="615" t="s">
        <v>435</v>
      </c>
      <c r="N4" s="615"/>
      <c r="O4" s="108">
        <f>'Calcul R84'!P89+'Calcul R84'!P96+'Calcul R84'!P103</f>
        <v>105087</v>
      </c>
      <c r="P4" s="108">
        <v>106176</v>
      </c>
      <c r="Q4" s="112">
        <f>O4/P4</f>
        <v>0.98974344484629295</v>
      </c>
      <c r="R4" s="74"/>
      <c r="U4" s="182"/>
    </row>
    <row r="5" spans="1:21" ht="14.4" customHeight="1" x14ac:dyDescent="0.3">
      <c r="A5" s="385" t="s">
        <v>525</v>
      </c>
      <c r="B5" s="140">
        <v>0</v>
      </c>
      <c r="C5" s="182"/>
      <c r="D5" s="597"/>
      <c r="E5" s="598"/>
      <c r="F5" s="599"/>
      <c r="G5" s="524"/>
      <c r="H5" s="591" t="s">
        <v>525</v>
      </c>
      <c r="I5" s="592"/>
      <c r="J5" s="593"/>
      <c r="K5" s="256">
        <v>0</v>
      </c>
      <c r="M5" s="615" t="s">
        <v>436</v>
      </c>
      <c r="N5" s="615"/>
      <c r="O5" s="108">
        <f>'Calcul R84'!P111</f>
        <v>8726</v>
      </c>
      <c r="P5" s="108">
        <f>4604+4148</f>
        <v>8752</v>
      </c>
      <c r="Q5" s="112">
        <f>O5/P5</f>
        <v>0.99702925045703839</v>
      </c>
      <c r="R5" s="158"/>
      <c r="U5" s="182"/>
    </row>
    <row r="6" spans="1:21" x14ac:dyDescent="0.3">
      <c r="A6" s="385" t="s">
        <v>107</v>
      </c>
      <c r="B6" s="140">
        <v>0</v>
      </c>
      <c r="C6" s="217"/>
      <c r="D6" s="600"/>
      <c r="E6" s="601"/>
      <c r="F6" s="602"/>
      <c r="G6" s="524"/>
      <c r="H6" s="616" t="s">
        <v>107</v>
      </c>
      <c r="I6" s="617"/>
      <c r="J6" s="618"/>
      <c r="K6" s="256">
        <v>0</v>
      </c>
      <c r="M6" s="615" t="s">
        <v>437</v>
      </c>
      <c r="N6" s="615"/>
      <c r="O6" s="108">
        <f>'Calcul R84'!P118+'Calcul R84'!P125+'Calcul R84'!P132+'Calcul R84'!P139+'Calcul R84'!P146+'Calcul R84'!P153+'Calcul R84'!P160</f>
        <v>6875</v>
      </c>
      <c r="P6" s="108">
        <f>10075+3482-133</f>
        <v>13424</v>
      </c>
      <c r="Q6" s="112">
        <f>O6/P6</f>
        <v>0.512142431466031</v>
      </c>
      <c r="R6" s="451" t="s">
        <v>623</v>
      </c>
      <c r="U6" s="182"/>
    </row>
    <row r="7" spans="1:21" x14ac:dyDescent="0.3">
      <c r="A7" s="386" t="s">
        <v>89</v>
      </c>
      <c r="B7" s="140">
        <v>0</v>
      </c>
      <c r="C7" s="182"/>
      <c r="D7" s="182"/>
      <c r="E7" s="182"/>
      <c r="F7" s="182"/>
      <c r="G7" s="182"/>
      <c r="H7" s="619" t="s">
        <v>89</v>
      </c>
      <c r="I7" s="620"/>
      <c r="J7" s="621"/>
      <c r="K7" s="256">
        <v>0</v>
      </c>
      <c r="M7" s="615" t="s">
        <v>438</v>
      </c>
      <c r="N7" s="615"/>
      <c r="O7" s="108">
        <f>'Calcul R84'!P168+'Calcul R84'!P175+'Calcul R84'!P182+'Calcul R84'!P189</f>
        <v>12042</v>
      </c>
      <c r="P7" s="108">
        <v>33343</v>
      </c>
      <c r="Q7" s="112">
        <f>O7/P7</f>
        <v>0.36115526497315781</v>
      </c>
      <c r="R7" s="451" t="s">
        <v>624</v>
      </c>
      <c r="U7" s="182"/>
    </row>
    <row r="8" spans="1:21" x14ac:dyDescent="0.3">
      <c r="A8" s="424" t="s">
        <v>284</v>
      </c>
      <c r="B8" s="331">
        <v>0</v>
      </c>
      <c r="C8" s="90"/>
      <c r="D8" s="90"/>
      <c r="E8" s="90"/>
      <c r="F8" s="90"/>
      <c r="G8" s="90"/>
      <c r="H8" s="612" t="s">
        <v>284</v>
      </c>
      <c r="I8" s="613"/>
      <c r="J8" s="614"/>
      <c r="K8" s="256">
        <v>0</v>
      </c>
      <c r="M8" s="615" t="s">
        <v>451</v>
      </c>
      <c r="N8" s="615"/>
      <c r="O8" s="459">
        <v>0</v>
      </c>
      <c r="P8" s="108">
        <v>46796</v>
      </c>
      <c r="Q8" s="112">
        <v>0</v>
      </c>
      <c r="R8" s="431" t="s">
        <v>625</v>
      </c>
      <c r="U8" s="182"/>
    </row>
    <row r="9" spans="1:21" x14ac:dyDescent="0.3">
      <c r="A9" s="387" t="s">
        <v>285</v>
      </c>
      <c r="B9" s="140">
        <v>0</v>
      </c>
      <c r="C9" s="182"/>
      <c r="D9" s="182"/>
      <c r="E9" s="182"/>
      <c r="F9" s="182"/>
      <c r="G9" s="182"/>
      <c r="H9" s="612" t="s">
        <v>285</v>
      </c>
      <c r="I9" s="613"/>
      <c r="J9" s="614"/>
      <c r="K9" s="256">
        <v>0</v>
      </c>
      <c r="U9" s="182"/>
    </row>
    <row r="10" spans="1:21" x14ac:dyDescent="0.3">
      <c r="A10" s="387" t="s">
        <v>19</v>
      </c>
      <c r="B10" s="140">
        <v>0</v>
      </c>
      <c r="C10" s="182"/>
      <c r="D10" s="182"/>
      <c r="E10" s="182"/>
      <c r="F10" s="182"/>
      <c r="G10" s="182"/>
      <c r="H10" s="612" t="s">
        <v>19</v>
      </c>
      <c r="I10" s="613"/>
      <c r="J10" s="614"/>
      <c r="K10" s="256">
        <v>0</v>
      </c>
    </row>
    <row r="11" spans="1:21" x14ac:dyDescent="0.3">
      <c r="A11" s="387" t="s">
        <v>116</v>
      </c>
      <c r="B11" s="140">
        <v>0</v>
      </c>
      <c r="C11" s="182"/>
      <c r="D11" s="182"/>
      <c r="E11" s="182"/>
      <c r="F11" s="182"/>
      <c r="G11" s="182"/>
      <c r="H11" s="612" t="s">
        <v>116</v>
      </c>
      <c r="I11" s="613"/>
      <c r="J11" s="614"/>
      <c r="K11" s="256">
        <v>0</v>
      </c>
    </row>
    <row r="12" spans="1:21" x14ac:dyDescent="0.3">
      <c r="C12" s="182"/>
      <c r="D12" s="182"/>
      <c r="E12" s="182"/>
      <c r="F12" s="182"/>
      <c r="G12" s="182"/>
      <c r="H12" s="182"/>
      <c r="I12" s="182"/>
      <c r="J12" s="232"/>
      <c r="K12" s="182"/>
    </row>
    <row r="47" spans="1:19" x14ac:dyDescent="0.3">
      <c r="A47" t="s">
        <v>546</v>
      </c>
      <c r="I47" t="s">
        <v>464</v>
      </c>
      <c r="S47"/>
    </row>
    <row r="48" spans="1:19" x14ac:dyDescent="0.3">
      <c r="S48"/>
    </row>
    <row r="49" spans="1:19" x14ac:dyDescent="0.3">
      <c r="S49"/>
    </row>
    <row r="50" spans="1:19" x14ac:dyDescent="0.3">
      <c r="S50"/>
    </row>
    <row r="51" spans="1:19" x14ac:dyDescent="0.3">
      <c r="S51"/>
    </row>
    <row r="52" spans="1:19" x14ac:dyDescent="0.3">
      <c r="S52"/>
    </row>
    <row r="53" spans="1:19" x14ac:dyDescent="0.3">
      <c r="S53"/>
    </row>
    <row r="54" spans="1:19" x14ac:dyDescent="0.3">
      <c r="S54"/>
    </row>
    <row r="55" spans="1:19" x14ac:dyDescent="0.3">
      <c r="S55"/>
    </row>
    <row r="56" spans="1:19" x14ac:dyDescent="0.3">
      <c r="S56"/>
    </row>
    <row r="57" spans="1:19" x14ac:dyDescent="0.3">
      <c r="S57"/>
    </row>
    <row r="58" spans="1:19" x14ac:dyDescent="0.3">
      <c r="S58"/>
    </row>
    <row r="59" spans="1:19" x14ac:dyDescent="0.3">
      <c r="S59"/>
    </row>
    <row r="60" spans="1:19" x14ac:dyDescent="0.3">
      <c r="S60"/>
    </row>
    <row r="61" spans="1:19" x14ac:dyDescent="0.3">
      <c r="S61"/>
    </row>
    <row r="62" spans="1:19" x14ac:dyDescent="0.3">
      <c r="I62" t="s">
        <v>446</v>
      </c>
      <c r="S62"/>
    </row>
    <row r="63" spans="1:19" x14ac:dyDescent="0.3">
      <c r="I63" t="s">
        <v>474</v>
      </c>
      <c r="S63"/>
    </row>
    <row r="64" spans="1:19" x14ac:dyDescent="0.3">
      <c r="A64" t="s">
        <v>446</v>
      </c>
      <c r="M64" s="1"/>
    </row>
    <row r="65" spans="1:78" x14ac:dyDescent="0.3">
      <c r="A65" t="s">
        <v>474</v>
      </c>
      <c r="M65" s="1"/>
    </row>
    <row r="66" spans="1:78" x14ac:dyDescent="0.3">
      <c r="A66" t="s">
        <v>530</v>
      </c>
      <c r="M66" s="1"/>
    </row>
    <row r="67" spans="1:78" x14ac:dyDescent="0.3">
      <c r="W67" s="183"/>
    </row>
    <row r="68" spans="1:78" ht="28.8" x14ac:dyDescent="0.3">
      <c r="A68" s="399" t="s">
        <v>421</v>
      </c>
      <c r="B68" s="420">
        <v>2010</v>
      </c>
      <c r="C68" s="421">
        <v>2011</v>
      </c>
      <c r="D68" s="422">
        <v>2012</v>
      </c>
      <c r="E68" s="420">
        <v>2013</v>
      </c>
      <c r="F68" s="421">
        <v>2014</v>
      </c>
      <c r="G68" s="422">
        <v>2015</v>
      </c>
      <c r="H68" s="420">
        <v>2016</v>
      </c>
      <c r="I68" s="421">
        <v>2017</v>
      </c>
      <c r="J68" s="422">
        <v>2018</v>
      </c>
      <c r="K68" s="420">
        <v>2019</v>
      </c>
      <c r="L68" s="421">
        <v>2020</v>
      </c>
      <c r="M68" s="422">
        <v>2021</v>
      </c>
      <c r="N68" s="420">
        <v>2022</v>
      </c>
      <c r="O68" s="421">
        <v>2023</v>
      </c>
      <c r="P68" s="422">
        <v>2024</v>
      </c>
      <c r="Q68" s="420">
        <v>2025</v>
      </c>
      <c r="R68" s="421">
        <v>2026</v>
      </c>
      <c r="S68" s="422">
        <v>2027</v>
      </c>
      <c r="T68" s="420">
        <v>2028</v>
      </c>
      <c r="U68" s="421">
        <v>2029</v>
      </c>
      <c r="V68" s="499" t="s">
        <v>537</v>
      </c>
      <c r="W68" s="500" t="s">
        <v>538</v>
      </c>
      <c r="X68" s="429"/>
      <c r="Y68" s="429"/>
      <c r="Z68" s="429"/>
      <c r="AA68" s="429"/>
      <c r="AB68" s="429"/>
      <c r="AC68" s="429"/>
      <c r="AD68" s="429"/>
      <c r="AE68" s="429"/>
      <c r="AF68" s="429"/>
      <c r="AG68" s="429"/>
      <c r="AH68" s="429"/>
      <c r="AI68" s="429"/>
      <c r="AJ68" s="429"/>
      <c r="AK68" s="429"/>
      <c r="AL68" s="429"/>
      <c r="AM68" s="429"/>
      <c r="AN68" s="429"/>
      <c r="AO68" s="429"/>
      <c r="AP68" s="429"/>
      <c r="AQ68" s="429"/>
      <c r="AR68" s="429"/>
      <c r="AS68" s="429"/>
      <c r="AT68" s="429"/>
      <c r="AU68" s="429"/>
      <c r="AV68" s="429"/>
      <c r="AW68" s="429"/>
      <c r="AX68" s="429"/>
      <c r="AY68" s="429"/>
      <c r="AZ68" s="429"/>
      <c r="BA68" s="429"/>
      <c r="BB68" s="429"/>
      <c r="BC68" s="429"/>
      <c r="BD68" s="429"/>
      <c r="BE68" s="429"/>
      <c r="BF68" s="429"/>
      <c r="BG68" s="429"/>
      <c r="BH68" s="429"/>
      <c r="BI68" s="429"/>
      <c r="BJ68" s="90"/>
      <c r="BK68" s="429"/>
      <c r="BL68" s="429"/>
      <c r="BM68" s="90"/>
      <c r="BN68" s="429"/>
      <c r="BO68" s="429"/>
      <c r="BP68" s="90"/>
      <c r="BQ68" s="90"/>
      <c r="BR68" s="90"/>
      <c r="BS68" s="90"/>
      <c r="BT68" s="90"/>
      <c r="BU68" s="90"/>
      <c r="BV68" s="90"/>
      <c r="BW68" s="90"/>
      <c r="BX68" s="90"/>
      <c r="BY68" s="90"/>
      <c r="BZ68" s="90"/>
    </row>
    <row r="69" spans="1:78" x14ac:dyDescent="0.3">
      <c r="A69" s="432" t="s">
        <v>405</v>
      </c>
      <c r="B69" s="12">
        <f>'Calcul R84'!C67</f>
        <v>226811</v>
      </c>
      <c r="C69" s="54">
        <f>'Calcul R84'!D67</f>
        <v>222539</v>
      </c>
      <c r="D69" s="54">
        <f>'Calcul R84'!E67</f>
        <v>228305</v>
      </c>
      <c r="E69" s="54">
        <f>'Calcul R84'!F67</f>
        <v>231752</v>
      </c>
      <c r="F69" s="54">
        <f>'Calcul R84'!G67</f>
        <v>218603</v>
      </c>
      <c r="G69" s="54">
        <f>'Calcul R84'!H67</f>
        <v>227908</v>
      </c>
      <c r="H69" s="54">
        <f>'Calcul R84'!I67</f>
        <v>240485</v>
      </c>
      <c r="I69" s="54">
        <f>'Calcul R84'!J67</f>
        <v>219259</v>
      </c>
      <c r="J69" s="54">
        <f>'Calcul R84'!K67</f>
        <v>217159</v>
      </c>
      <c r="K69" s="54">
        <f>'Calcul R84'!L67</f>
        <v>217219</v>
      </c>
      <c r="L69" s="54">
        <f>'Calcul R84'!M67</f>
        <v>200045</v>
      </c>
      <c r="M69" s="54">
        <f>'Calcul R84'!N67</f>
        <v>222495</v>
      </c>
      <c r="N69" s="54">
        <f>'Calcul R84'!O67</f>
        <v>209330</v>
      </c>
      <c r="O69" s="54">
        <f>'Calcul R84'!P67</f>
        <v>215340</v>
      </c>
      <c r="P69" s="54">
        <f>'Calcul R84'!Q67</f>
        <v>0</v>
      </c>
      <c r="Q69" s="54">
        <f>'Calcul R84'!R67</f>
        <v>0</v>
      </c>
      <c r="R69" s="54">
        <f>'Calcul R84'!S67</f>
        <v>0</v>
      </c>
      <c r="S69" s="54">
        <f>'Calcul R84'!T67</f>
        <v>0</v>
      </c>
      <c r="T69" s="54">
        <f>'Calcul R84'!U67</f>
        <v>0</v>
      </c>
      <c r="U69" s="54">
        <f>'Calcul R84'!V67</f>
        <v>0</v>
      </c>
      <c r="V69" s="54">
        <f>'Calcul R84'!W67</f>
        <v>215721.66666666666</v>
      </c>
      <c r="W69" s="54">
        <f>'Calcul R84'!X67</f>
        <v>215721.66666666666</v>
      </c>
      <c r="X69" s="157"/>
      <c r="Y69" s="74"/>
      <c r="Z69" s="157"/>
      <c r="AA69" s="157"/>
      <c r="AB69" s="74"/>
      <c r="AC69" s="157"/>
      <c r="AD69" s="157"/>
      <c r="AE69" s="74"/>
      <c r="AF69" s="157"/>
      <c r="AG69" s="157"/>
      <c r="AH69" s="74"/>
      <c r="AI69" s="157"/>
      <c r="AJ69" s="157"/>
      <c r="AK69" s="74"/>
      <c r="AL69" s="157"/>
      <c r="AM69" s="157"/>
      <c r="AN69" s="74"/>
      <c r="AO69" s="157"/>
      <c r="AP69" s="157"/>
      <c r="AQ69" s="74"/>
      <c r="AR69" s="157"/>
      <c r="AS69" s="157"/>
      <c r="AT69" s="74"/>
      <c r="AU69" s="157"/>
      <c r="AV69" s="157"/>
      <c r="AW69" s="74"/>
      <c r="AX69" s="157"/>
      <c r="AY69" s="157"/>
      <c r="AZ69" s="74"/>
      <c r="BA69" s="157"/>
      <c r="BB69" s="157"/>
      <c r="BC69" s="74"/>
      <c r="BD69" s="157"/>
      <c r="BE69" s="157"/>
      <c r="BF69" s="74"/>
      <c r="BG69" s="157"/>
      <c r="BH69" s="157"/>
      <c r="BI69" s="74"/>
      <c r="BJ69" s="157"/>
      <c r="BK69" s="157"/>
      <c r="BL69" s="74"/>
      <c r="BM69" s="157"/>
      <c r="BN69" s="157"/>
      <c r="BO69" s="74"/>
      <c r="BP69" s="90"/>
      <c r="BQ69" s="90"/>
      <c r="BR69" s="90"/>
      <c r="BS69" s="90"/>
      <c r="BT69" s="90"/>
      <c r="BU69" s="90"/>
      <c r="BV69" s="90"/>
      <c r="BW69" s="90"/>
      <c r="BX69" s="90"/>
      <c r="BY69" s="90"/>
      <c r="BZ69" s="90"/>
    </row>
    <row r="70" spans="1:78" x14ac:dyDescent="0.3">
      <c r="A70" s="433" t="s">
        <v>406</v>
      </c>
      <c r="B70" s="442">
        <f>'Calcul R84'!C69</f>
        <v>6.34</v>
      </c>
      <c r="C70" s="92">
        <f>'Calcul R84'!D69</f>
        <v>5.55</v>
      </c>
      <c r="D70" s="92">
        <f>'Calcul R84'!E69</f>
        <v>6.32</v>
      </c>
      <c r="E70" s="92">
        <f>'Calcul R84'!F69</f>
        <v>6.24</v>
      </c>
      <c r="F70" s="92">
        <f>'Calcul R84'!G69</f>
        <v>6.15</v>
      </c>
      <c r="G70" s="92">
        <f>'Calcul R84'!H69</f>
        <v>6.07</v>
      </c>
      <c r="H70" s="92">
        <f>'Calcul R84'!I69</f>
        <v>5.75</v>
      </c>
      <c r="I70" s="92">
        <f>'Calcul R84'!J69</f>
        <v>6.21</v>
      </c>
      <c r="J70" s="92">
        <f>'Calcul R84'!K69</f>
        <v>5.92</v>
      </c>
      <c r="K70" s="92">
        <f>'Calcul R84'!L69</f>
        <v>5.83</v>
      </c>
      <c r="L70" s="92">
        <f>'Calcul R84'!M69</f>
        <v>5.56</v>
      </c>
      <c r="M70" s="92">
        <f>'Calcul R84'!N69</f>
        <v>6.05</v>
      </c>
      <c r="N70" s="92">
        <f>'Calcul R84'!O69</f>
        <v>5.18</v>
      </c>
      <c r="O70" s="92">
        <f>'Calcul R84'!P69</f>
        <v>6.17</v>
      </c>
      <c r="P70" s="92">
        <f>'Calcul R84'!Q69</f>
        <v>0</v>
      </c>
      <c r="Q70" s="92">
        <f>'Calcul R84'!R69</f>
        <v>0</v>
      </c>
      <c r="R70" s="92">
        <f>'Calcul R84'!S69</f>
        <v>0</v>
      </c>
      <c r="S70" s="92">
        <f>'Calcul R84'!T69</f>
        <v>0</v>
      </c>
      <c r="T70" s="92">
        <f>'Calcul R84'!U69</f>
        <v>0</v>
      </c>
      <c r="U70" s="92">
        <f>'Calcul R84'!V69</f>
        <v>0</v>
      </c>
      <c r="V70" s="92">
        <f>'Calcul R84'!W69</f>
        <v>5.64</v>
      </c>
      <c r="W70" s="92">
        <f>'Calcul R84'!X69</f>
        <v>5.64</v>
      </c>
      <c r="X70" s="157"/>
      <c r="Y70" s="74"/>
      <c r="Z70" s="157"/>
      <c r="AA70" s="157"/>
      <c r="AB70" s="74"/>
      <c r="AC70" s="157"/>
      <c r="AD70" s="157"/>
      <c r="AE70" s="74"/>
      <c r="AF70" s="157"/>
      <c r="AG70" s="157"/>
      <c r="AH70" s="74"/>
      <c r="AI70" s="157"/>
      <c r="AJ70" s="157"/>
      <c r="AK70" s="74"/>
      <c r="AL70" s="157"/>
      <c r="AM70" s="157"/>
      <c r="AN70" s="74"/>
      <c r="AO70" s="157"/>
      <c r="AP70" s="157"/>
      <c r="AQ70" s="74"/>
      <c r="AR70" s="157"/>
      <c r="AS70" s="157"/>
      <c r="AT70" s="74"/>
      <c r="AU70" s="157"/>
      <c r="AV70" s="157"/>
      <c r="AW70" s="74"/>
      <c r="AX70" s="157"/>
      <c r="AY70" s="157"/>
      <c r="AZ70" s="74"/>
      <c r="BA70" s="157"/>
      <c r="BB70" s="157"/>
      <c r="BC70" s="74"/>
      <c r="BD70" s="157"/>
      <c r="BE70" s="157"/>
      <c r="BF70" s="74"/>
      <c r="BG70" s="157"/>
      <c r="BH70" s="157"/>
      <c r="BI70" s="74"/>
      <c r="BJ70" s="157"/>
      <c r="BK70" s="157"/>
      <c r="BL70" s="74"/>
      <c r="BM70" s="157"/>
      <c r="BN70" s="157"/>
      <c r="BO70" s="74"/>
      <c r="BP70" s="90"/>
      <c r="BQ70" s="90"/>
      <c r="BR70" s="90"/>
      <c r="BS70" s="90"/>
      <c r="BT70" s="90"/>
      <c r="BU70" s="90"/>
      <c r="BV70" s="90"/>
      <c r="BW70" s="90"/>
      <c r="BX70" s="90"/>
      <c r="BY70" s="90"/>
      <c r="BZ70" s="90"/>
    </row>
    <row r="71" spans="1:78" x14ac:dyDescent="0.3">
      <c r="A71" s="433" t="s">
        <v>407</v>
      </c>
      <c r="B71" s="16">
        <f t="shared" ref="B71:W71" si="0">B70*B69</f>
        <v>1437981.74</v>
      </c>
      <c r="C71" s="47">
        <f t="shared" si="0"/>
        <v>1235091.45</v>
      </c>
      <c r="D71" s="47">
        <f t="shared" si="0"/>
        <v>1442887.6</v>
      </c>
      <c r="E71" s="47">
        <f t="shared" si="0"/>
        <v>1446132.48</v>
      </c>
      <c r="F71" s="47">
        <f t="shared" si="0"/>
        <v>1344408.4500000002</v>
      </c>
      <c r="G71" s="47">
        <f t="shared" si="0"/>
        <v>1383401.56</v>
      </c>
      <c r="H71" s="47">
        <f t="shared" si="0"/>
        <v>1382788.75</v>
      </c>
      <c r="I71" s="47">
        <f t="shared" si="0"/>
        <v>1361598.39</v>
      </c>
      <c r="J71" s="47">
        <f t="shared" si="0"/>
        <v>1285581.28</v>
      </c>
      <c r="K71" s="47">
        <f t="shared" si="0"/>
        <v>1266386.77</v>
      </c>
      <c r="L71" s="47">
        <f t="shared" si="0"/>
        <v>1112250.2</v>
      </c>
      <c r="M71" s="47">
        <f t="shared" si="0"/>
        <v>1346094.75</v>
      </c>
      <c r="N71" s="47">
        <f t="shared" si="0"/>
        <v>1084329.3999999999</v>
      </c>
      <c r="O71" s="47">
        <f t="shared" si="0"/>
        <v>1328647.8</v>
      </c>
      <c r="P71" s="47">
        <f t="shared" si="0"/>
        <v>0</v>
      </c>
      <c r="Q71" s="47">
        <f t="shared" si="0"/>
        <v>0</v>
      </c>
      <c r="R71" s="47">
        <f t="shared" si="0"/>
        <v>0</v>
      </c>
      <c r="S71" s="47">
        <f t="shared" si="0"/>
        <v>0</v>
      </c>
      <c r="T71" s="47">
        <f t="shared" si="0"/>
        <v>0</v>
      </c>
      <c r="U71" s="47">
        <f t="shared" si="0"/>
        <v>0</v>
      </c>
      <c r="V71" s="47">
        <f t="shared" si="0"/>
        <v>1216670.2</v>
      </c>
      <c r="W71" s="47">
        <f t="shared" si="0"/>
        <v>1216670.2</v>
      </c>
      <c r="X71" s="157"/>
      <c r="Y71" s="232"/>
      <c r="Z71" s="157"/>
      <c r="AA71" s="157"/>
      <c r="AB71" s="74"/>
      <c r="AC71" s="157"/>
      <c r="AD71" s="157"/>
      <c r="AE71" s="74"/>
      <c r="AF71" s="157"/>
      <c r="AG71" s="157"/>
      <c r="AH71" s="74"/>
      <c r="AI71" s="157"/>
      <c r="AJ71" s="157"/>
      <c r="AK71" s="74"/>
      <c r="AL71" s="157"/>
      <c r="AM71" s="157"/>
      <c r="AN71" s="74"/>
      <c r="AO71" s="157"/>
      <c r="AP71" s="157"/>
      <c r="AQ71" s="74"/>
      <c r="AR71" s="157"/>
      <c r="AS71" s="157"/>
      <c r="AT71" s="74"/>
      <c r="AU71" s="157"/>
      <c r="AV71" s="157"/>
      <c r="AW71" s="74"/>
      <c r="AX71" s="157"/>
      <c r="AY71" s="157"/>
      <c r="AZ71" s="74"/>
      <c r="BA71" s="157"/>
      <c r="BB71" s="157"/>
      <c r="BC71" s="74"/>
      <c r="BD71" s="157"/>
      <c r="BE71" s="157"/>
      <c r="BF71" s="74"/>
      <c r="BG71" s="157"/>
      <c r="BH71" s="157"/>
      <c r="BI71" s="74"/>
      <c r="BJ71" s="157"/>
      <c r="BK71" s="157"/>
      <c r="BL71" s="74"/>
      <c r="BM71" s="157"/>
      <c r="BN71" s="157"/>
      <c r="BO71" s="74"/>
      <c r="BP71" s="90"/>
      <c r="BQ71" s="90"/>
      <c r="BR71" s="90"/>
      <c r="BS71" s="90"/>
      <c r="BT71" s="90"/>
      <c r="BU71" s="90"/>
      <c r="BV71" s="90"/>
      <c r="BW71" s="90"/>
      <c r="BX71" s="90"/>
      <c r="BY71" s="90"/>
      <c r="BZ71" s="90"/>
    </row>
    <row r="72" spans="1:78" s="111" customFormat="1" x14ac:dyDescent="0.3">
      <c r="A72" s="481" t="s">
        <v>422</v>
      </c>
      <c r="B72" s="482">
        <f>B71/('Calcul Fr métro'!C106*'Calcul Fr métro'!C108)</f>
        <v>4.0546881285745191E-2</v>
      </c>
      <c r="C72" s="483">
        <f>C71/('Calcul Fr métro'!D106*'Calcul Fr métro'!D108)</f>
        <v>3.6335540925863122E-2</v>
      </c>
      <c r="D72" s="483">
        <f>D71/('Calcul Fr métro'!E106*'Calcul Fr métro'!E108)</f>
        <v>4.0651849170860115E-2</v>
      </c>
      <c r="E72" s="483">
        <f>E71/('Calcul Fr métro'!F106*'Calcul Fr métro'!F108)</f>
        <v>3.9217491264534603E-2</v>
      </c>
      <c r="F72" s="483">
        <f>F71/('Calcul Fr métro'!G106*'Calcul Fr métro'!G108)</f>
        <v>3.5851170778703985E-2</v>
      </c>
      <c r="G72" s="483">
        <f>G71/('Calcul Fr métro'!H106*'Calcul Fr métro'!H108)</f>
        <v>3.3743677272185475E-2</v>
      </c>
      <c r="H72" s="483">
        <f>H71/('Calcul Fr métro'!I106*'Calcul Fr métro'!I108)</f>
        <v>5.0099606857491139E-2</v>
      </c>
      <c r="I72" s="483">
        <f>I71/('Calcul Fr métro'!J106*'Calcul Fr métro'!J108)</f>
        <v>3.7227057130108987E-2</v>
      </c>
      <c r="J72" s="483">
        <f>J71/('Calcul Fr métro'!K106*'Calcul Fr métro'!K108)</f>
        <v>3.7736317029017211E-2</v>
      </c>
      <c r="K72" s="483">
        <f>K71/('Calcul Fr métro'!L106*'Calcul Fr métro'!L108)</f>
        <v>3.2026695516904027E-2</v>
      </c>
      <c r="L72" s="483">
        <f>L71/('Calcul Fr métro'!M106*'Calcul Fr métro'!M108)</f>
        <v>3.8104227926246487E-2</v>
      </c>
      <c r="M72" s="483">
        <f>M71/('Calcul Fr métro'!N106*'Calcul Fr métro'!N108)</f>
        <v>3.8051295845736043E-2</v>
      </c>
      <c r="N72" s="483">
        <f>N71/('Calcul Fr métro'!O106*'Calcul Fr métro'!O108)</f>
        <v>3.219815902736288E-2</v>
      </c>
      <c r="O72" s="483">
        <f>O71/('Calcul Fr métro'!P106*'Calcul Fr métro'!P108)</f>
        <v>3.790760807963911E-2</v>
      </c>
      <c r="P72" s="483"/>
      <c r="Q72" s="483"/>
      <c r="R72" s="483"/>
      <c r="S72" s="484"/>
      <c r="T72" s="484"/>
      <c r="U72" s="484"/>
      <c r="V72" s="483">
        <f>V71/('Calcul Fr métro'!W106*'Calcul Fr métro'!W108)</f>
        <v>3.4742548775210033E-2</v>
      </c>
      <c r="W72" s="483"/>
      <c r="X72" s="430"/>
      <c r="Y72" s="74"/>
      <c r="Z72" s="430"/>
      <c r="AA72" s="430"/>
      <c r="AB72" s="74"/>
      <c r="AC72" s="430"/>
      <c r="AD72" s="430"/>
      <c r="AE72" s="74"/>
      <c r="AF72" s="430"/>
      <c r="AG72" s="430"/>
      <c r="AH72" s="74"/>
      <c r="AI72" s="430"/>
      <c r="AJ72" s="430"/>
      <c r="AK72" s="74"/>
      <c r="AL72" s="430"/>
      <c r="AM72" s="430"/>
      <c r="AN72" s="430"/>
      <c r="AO72" s="430"/>
      <c r="AP72" s="430"/>
      <c r="AQ72" s="430"/>
      <c r="AR72" s="430"/>
      <c r="AS72" s="430"/>
      <c r="AT72" s="430"/>
      <c r="AU72" s="430"/>
      <c r="AV72" s="430"/>
      <c r="AW72" s="430"/>
      <c r="AX72" s="430"/>
      <c r="AY72" s="430"/>
      <c r="AZ72" s="430"/>
      <c r="BA72" s="430"/>
      <c r="BB72" s="430"/>
      <c r="BC72" s="430"/>
      <c r="BD72" s="430"/>
      <c r="BE72" s="430"/>
      <c r="BF72" s="430"/>
      <c r="BG72" s="430"/>
      <c r="BH72" s="430"/>
      <c r="BI72" s="430"/>
      <c r="BJ72" s="430"/>
      <c r="BK72" s="430"/>
      <c r="BL72" s="430"/>
      <c r="BM72" s="430"/>
      <c r="BN72" s="430"/>
      <c r="BO72" s="430"/>
      <c r="BP72" s="400"/>
      <c r="BQ72" s="400"/>
      <c r="BR72" s="400"/>
      <c r="BS72" s="400"/>
      <c r="BT72" s="400"/>
      <c r="BU72" s="400"/>
      <c r="BV72" s="400"/>
      <c r="BW72" s="400"/>
      <c r="BX72" s="400"/>
      <c r="BY72" s="400"/>
      <c r="BZ72" s="400"/>
    </row>
    <row r="73" spans="1:78" x14ac:dyDescent="0.3">
      <c r="A73" s="432" t="s">
        <v>417</v>
      </c>
      <c r="B73" s="12">
        <f>'Calcul R84'!C74</f>
        <v>10808</v>
      </c>
      <c r="C73" s="54">
        <f>'Calcul R84'!D74</f>
        <v>9183</v>
      </c>
      <c r="D73" s="54">
        <f>'Calcul R84'!E74</f>
        <v>9021</v>
      </c>
      <c r="E73" s="54">
        <f>'Calcul R84'!F74</f>
        <v>7567</v>
      </c>
      <c r="F73" s="54">
        <f>'Calcul R84'!G74</f>
        <v>6071</v>
      </c>
      <c r="G73" s="54">
        <f>'Calcul R84'!H74</f>
        <v>7692</v>
      </c>
      <c r="H73" s="54">
        <f>'Calcul R84'!I74</f>
        <v>10059</v>
      </c>
      <c r="I73" s="54">
        <f>'Calcul R84'!J74</f>
        <v>10592</v>
      </c>
      <c r="J73" s="54">
        <f>'Calcul R84'!K74</f>
        <v>11508</v>
      </c>
      <c r="K73" s="54">
        <f>'Calcul R84'!L74</f>
        <v>8530</v>
      </c>
      <c r="L73" s="54">
        <f>'Calcul R84'!M74</f>
        <v>7905</v>
      </c>
      <c r="M73" s="54">
        <f>'Calcul R84'!N74</f>
        <v>9715</v>
      </c>
      <c r="N73" s="54">
        <f>'Calcul R84'!O74</f>
        <v>9707</v>
      </c>
      <c r="O73" s="54">
        <f>'Calcul R84'!P74</f>
        <v>9795</v>
      </c>
      <c r="P73" s="54">
        <f>'Calcul R84'!Q74</f>
        <v>0</v>
      </c>
      <c r="Q73" s="54">
        <f>'Calcul R84'!R74</f>
        <v>0</v>
      </c>
      <c r="R73" s="54">
        <f>'Calcul R84'!S74</f>
        <v>0</v>
      </c>
      <c r="S73" s="54">
        <f>'Calcul R84'!T74</f>
        <v>0</v>
      </c>
      <c r="T73" s="54">
        <f>'Calcul R84'!U74</f>
        <v>0</v>
      </c>
      <c r="U73" s="54">
        <f>'Calcul R84'!V74</f>
        <v>0</v>
      </c>
      <c r="V73" s="54">
        <f>'Calcul R84'!W74</f>
        <v>9739</v>
      </c>
      <c r="W73" s="54">
        <f>'Calcul R84'!X74</f>
        <v>9739</v>
      </c>
      <c r="X73" s="157"/>
      <c r="Y73" s="157"/>
      <c r="Z73" s="157"/>
      <c r="AA73" s="157"/>
      <c r="AB73" s="157"/>
      <c r="AC73" s="157"/>
      <c r="AD73" s="157"/>
      <c r="AE73" s="157"/>
      <c r="AF73" s="157"/>
      <c r="AG73" s="157"/>
      <c r="AH73" s="157"/>
      <c r="AI73" s="157"/>
      <c r="AJ73" s="157"/>
      <c r="AK73" s="157"/>
      <c r="AL73" s="157"/>
      <c r="AM73" s="157"/>
      <c r="AN73" s="157"/>
      <c r="AO73" s="157"/>
      <c r="AP73" s="157"/>
      <c r="AQ73" s="157"/>
      <c r="AR73" s="157"/>
      <c r="AS73" s="157"/>
      <c r="AT73" s="157"/>
      <c r="AU73" s="157"/>
      <c r="AV73" s="157"/>
      <c r="AW73" s="157"/>
      <c r="AX73" s="157"/>
      <c r="AY73" s="157"/>
      <c r="AZ73" s="157"/>
      <c r="BA73" s="157"/>
      <c r="BB73" s="157"/>
      <c r="BC73" s="157"/>
      <c r="BD73" s="157"/>
      <c r="BE73" s="157"/>
      <c r="BF73" s="157"/>
      <c r="BG73" s="157"/>
      <c r="BH73" s="157"/>
      <c r="BI73" s="157"/>
      <c r="BJ73" s="157"/>
      <c r="BK73" s="157"/>
      <c r="BL73" s="157"/>
      <c r="BM73" s="157"/>
      <c r="BN73" s="157"/>
      <c r="BO73" s="157"/>
      <c r="BP73" s="90"/>
      <c r="BQ73" s="90"/>
      <c r="BR73" s="90"/>
      <c r="BS73" s="90"/>
      <c r="BT73" s="90"/>
      <c r="BU73" s="90"/>
      <c r="BV73" s="90"/>
      <c r="BW73" s="90"/>
      <c r="BX73" s="90"/>
      <c r="BY73" s="90"/>
      <c r="BZ73" s="90"/>
    </row>
    <row r="74" spans="1:78" x14ac:dyDescent="0.3">
      <c r="A74" s="433" t="s">
        <v>418</v>
      </c>
      <c r="B74" s="442">
        <f>'Calcul R84'!C76</f>
        <v>5.04</v>
      </c>
      <c r="C74" s="92">
        <f>'Calcul R84'!D76</f>
        <v>3.87</v>
      </c>
      <c r="D74" s="92">
        <f>'Calcul R84'!E76</f>
        <v>5.24</v>
      </c>
      <c r="E74" s="92">
        <f>'Calcul R84'!F76</f>
        <v>5.37</v>
      </c>
      <c r="F74" s="92">
        <f>'Calcul R84'!G76</f>
        <v>4.5599999999999996</v>
      </c>
      <c r="G74" s="92">
        <f>'Calcul R84'!H76</f>
        <v>5.32</v>
      </c>
      <c r="H74" s="92">
        <f>'Calcul R84'!I76</f>
        <v>5.49</v>
      </c>
      <c r="I74" s="92">
        <f>'Calcul R84'!J76</f>
        <v>6.17</v>
      </c>
      <c r="J74" s="92">
        <f>'Calcul R84'!K76</f>
        <v>5.0199999999999996</v>
      </c>
      <c r="K74" s="92">
        <f>'Calcul R84'!L76</f>
        <v>5.41</v>
      </c>
      <c r="L74" s="92">
        <f>'Calcul R84'!M76</f>
        <v>5.35</v>
      </c>
      <c r="M74" s="92">
        <f>'Calcul R84'!N76</f>
        <v>6.23</v>
      </c>
      <c r="N74" s="92">
        <f>'Calcul R84'!O76</f>
        <v>5.62</v>
      </c>
      <c r="O74" s="92">
        <f>'Calcul R84'!P76</f>
        <v>5.57</v>
      </c>
      <c r="P74" s="92">
        <f>'Calcul R84'!Q76</f>
        <v>0</v>
      </c>
      <c r="Q74" s="92">
        <f>'Calcul R84'!R76</f>
        <v>0</v>
      </c>
      <c r="R74" s="92">
        <f>'Calcul R84'!S76</f>
        <v>0</v>
      </c>
      <c r="S74" s="92">
        <f>'Calcul R84'!T76</f>
        <v>0</v>
      </c>
      <c r="T74" s="92">
        <f>'Calcul R84'!U76</f>
        <v>0</v>
      </c>
      <c r="U74" s="92">
        <f>'Calcul R84'!V76</f>
        <v>0</v>
      </c>
      <c r="V74" s="92">
        <f>'Calcul R84'!W76</f>
        <v>5.52</v>
      </c>
      <c r="W74" s="92">
        <f>'Calcul R84'!X76</f>
        <v>5.52</v>
      </c>
      <c r="X74" s="157"/>
      <c r="Y74" s="157"/>
      <c r="Z74" s="157"/>
      <c r="AA74" s="157"/>
      <c r="AB74" s="157"/>
      <c r="AC74" s="157"/>
      <c r="AD74" s="157"/>
      <c r="AE74" s="157"/>
      <c r="AF74" s="157"/>
      <c r="AG74" s="157"/>
      <c r="AH74" s="157"/>
      <c r="AI74" s="157"/>
      <c r="AJ74" s="157"/>
      <c r="AK74" s="157"/>
      <c r="AL74" s="157"/>
      <c r="AM74" s="157"/>
      <c r="AN74" s="157"/>
      <c r="AO74" s="157"/>
      <c r="AP74" s="157"/>
      <c r="AQ74" s="157"/>
      <c r="AR74" s="157"/>
      <c r="AS74" s="157"/>
      <c r="AT74" s="157"/>
      <c r="AU74" s="157"/>
      <c r="AV74" s="157"/>
      <c r="AW74" s="157"/>
      <c r="AX74" s="157"/>
      <c r="AY74" s="157"/>
      <c r="AZ74" s="157"/>
      <c r="BA74" s="157"/>
      <c r="BB74" s="157"/>
      <c r="BC74" s="157"/>
      <c r="BD74" s="157"/>
      <c r="BE74" s="157"/>
      <c r="BF74" s="157"/>
      <c r="BG74" s="157"/>
      <c r="BH74" s="157"/>
      <c r="BI74" s="157"/>
      <c r="BJ74" s="157"/>
      <c r="BK74" s="157"/>
      <c r="BL74" s="157"/>
      <c r="BM74" s="157"/>
      <c r="BN74" s="157"/>
      <c r="BO74" s="157"/>
      <c r="BP74" s="90"/>
      <c r="BQ74" s="90"/>
      <c r="BR74" s="90"/>
      <c r="BS74" s="90"/>
      <c r="BT74" s="90"/>
      <c r="BU74" s="90"/>
      <c r="BV74" s="90"/>
      <c r="BW74" s="90"/>
      <c r="BX74" s="90"/>
      <c r="BY74" s="90"/>
      <c r="BZ74" s="90"/>
    </row>
    <row r="75" spans="1:78" x14ac:dyDescent="0.3">
      <c r="A75" s="433" t="s">
        <v>419</v>
      </c>
      <c r="B75" s="16">
        <f t="shared" ref="B75:W75" si="1">B74*B73</f>
        <v>54472.32</v>
      </c>
      <c r="C75" s="47">
        <f t="shared" si="1"/>
        <v>35538.21</v>
      </c>
      <c r="D75" s="47">
        <f t="shared" si="1"/>
        <v>47270.04</v>
      </c>
      <c r="E75" s="47">
        <f t="shared" si="1"/>
        <v>40634.79</v>
      </c>
      <c r="F75" s="47">
        <f t="shared" si="1"/>
        <v>27683.759999999998</v>
      </c>
      <c r="G75" s="47">
        <f t="shared" si="1"/>
        <v>40921.440000000002</v>
      </c>
      <c r="H75" s="47">
        <f t="shared" si="1"/>
        <v>55223.91</v>
      </c>
      <c r="I75" s="47">
        <f t="shared" si="1"/>
        <v>65352.639999999999</v>
      </c>
      <c r="J75" s="47">
        <f t="shared" si="1"/>
        <v>57770.159999999996</v>
      </c>
      <c r="K75" s="47">
        <f t="shared" si="1"/>
        <v>46147.3</v>
      </c>
      <c r="L75" s="47">
        <f t="shared" si="1"/>
        <v>42291.75</v>
      </c>
      <c r="M75" s="47">
        <f t="shared" si="1"/>
        <v>60524.450000000004</v>
      </c>
      <c r="N75" s="47">
        <f t="shared" si="1"/>
        <v>54553.340000000004</v>
      </c>
      <c r="O75" s="47">
        <f t="shared" si="1"/>
        <v>54558.15</v>
      </c>
      <c r="P75" s="47">
        <f t="shared" si="1"/>
        <v>0</v>
      </c>
      <c r="Q75" s="47">
        <f t="shared" si="1"/>
        <v>0</v>
      </c>
      <c r="R75" s="47">
        <f t="shared" si="1"/>
        <v>0</v>
      </c>
      <c r="S75" s="47">
        <f t="shared" si="1"/>
        <v>0</v>
      </c>
      <c r="T75" s="47">
        <f t="shared" si="1"/>
        <v>0</v>
      </c>
      <c r="U75" s="47">
        <f t="shared" si="1"/>
        <v>0</v>
      </c>
      <c r="V75" s="47">
        <f t="shared" si="1"/>
        <v>53759.28</v>
      </c>
      <c r="W75" s="47">
        <f t="shared" si="1"/>
        <v>53759.28</v>
      </c>
      <c r="X75" s="157"/>
      <c r="Y75" s="157"/>
      <c r="Z75" s="157"/>
      <c r="AA75" s="157"/>
      <c r="AB75" s="157"/>
      <c r="AC75" s="157"/>
      <c r="AD75" s="157"/>
      <c r="AE75" s="157"/>
      <c r="AF75" s="157"/>
      <c r="AG75" s="157"/>
      <c r="AH75" s="157"/>
      <c r="AI75" s="157"/>
      <c r="AJ75" s="157"/>
      <c r="AK75" s="157"/>
      <c r="AL75" s="157"/>
      <c r="AM75" s="157"/>
      <c r="AN75" s="157"/>
      <c r="AO75" s="157"/>
      <c r="AP75" s="157"/>
      <c r="AQ75" s="157"/>
      <c r="AR75" s="157"/>
      <c r="AS75" s="157"/>
      <c r="AT75" s="157"/>
      <c r="AU75" s="157"/>
      <c r="AV75" s="157"/>
      <c r="AW75" s="157"/>
      <c r="AX75" s="157"/>
      <c r="AY75" s="157"/>
      <c r="AZ75" s="157"/>
      <c r="BA75" s="157"/>
      <c r="BB75" s="157"/>
      <c r="BC75" s="157"/>
      <c r="BD75" s="157"/>
      <c r="BE75" s="157"/>
      <c r="BF75" s="157"/>
      <c r="BG75" s="157"/>
      <c r="BH75" s="157"/>
      <c r="BI75" s="157"/>
      <c r="BJ75" s="157"/>
      <c r="BK75" s="157"/>
      <c r="BL75" s="157"/>
      <c r="BM75" s="157"/>
      <c r="BN75" s="157"/>
      <c r="BO75" s="157"/>
      <c r="BP75" s="90"/>
      <c r="BQ75" s="90"/>
      <c r="BR75" s="90"/>
      <c r="BS75" s="90"/>
      <c r="BT75" s="90"/>
      <c r="BU75" s="90"/>
      <c r="BV75" s="90"/>
      <c r="BW75" s="90"/>
      <c r="BX75" s="90"/>
      <c r="BY75" s="90"/>
      <c r="BZ75" s="90"/>
    </row>
    <row r="76" spans="1:78" x14ac:dyDescent="0.3">
      <c r="A76" s="481" t="s">
        <v>422</v>
      </c>
      <c r="B76" s="482">
        <f>B75/('Calcul Fr métro'!C113*'Calcul Fr métro'!C115)</f>
        <v>2.1461713276236652E-2</v>
      </c>
      <c r="C76" s="483">
        <f>C75/('Calcul Fr métro'!D113*'Calcul Fr métro'!D115)</f>
        <v>1.7630320527235246E-2</v>
      </c>
      <c r="D76" s="483">
        <f>D75/('Calcul Fr métro'!E113*'Calcul Fr métro'!E115)</f>
        <v>1.986762816210666E-2</v>
      </c>
      <c r="E76" s="483">
        <f>E75/('Calcul Fr métro'!F113*'Calcul Fr métro'!F115)</f>
        <v>2.3151660391424213E-2</v>
      </c>
      <c r="F76" s="483">
        <f>F75/('Calcul Fr métro'!G113*'Calcul Fr métro'!G115)</f>
        <v>1.8797645099909697E-2</v>
      </c>
      <c r="G76" s="483">
        <f>G75/('Calcul Fr métro'!H113*'Calcul Fr métro'!H115)</f>
        <v>2.2876130047765827E-2</v>
      </c>
      <c r="H76" s="483">
        <f>H75/('Calcul Fr métro'!I113*'Calcul Fr métro'!I115)</f>
        <v>3.3221711793239628E-2</v>
      </c>
      <c r="I76" s="483">
        <f>I75/('Calcul Fr métro'!J113*'Calcul Fr métro'!J115)</f>
        <v>3.1311825780852329E-2</v>
      </c>
      <c r="J76" s="483">
        <f>J75/('Calcul Fr métro'!K113*'Calcul Fr métro'!K115)</f>
        <v>3.236463327938402E-2</v>
      </c>
      <c r="K76" s="483">
        <f>K75/('Calcul Fr métro'!L113*'Calcul Fr métro'!L115)</f>
        <v>2.9464967379510733E-2</v>
      </c>
      <c r="L76" s="483">
        <f>L75/('Calcul Fr métro'!M113*'Calcul Fr métro'!M115)</f>
        <v>3.1870621512745445E-2</v>
      </c>
      <c r="M76" s="483">
        <f>M75/('Calcul Fr métro'!N113*'Calcul Fr métro'!N115)</f>
        <v>3.8023539263070789E-2</v>
      </c>
      <c r="N76" s="483">
        <f>N75/('Calcul Fr métro'!O113*'Calcul Fr métro'!O115)</f>
        <v>4.0539667274350412E-2</v>
      </c>
      <c r="O76" s="483">
        <f>O75/('Calcul Fr métro'!P113*'Calcul Fr métro'!P115)</f>
        <v>4.2485935771188289E-2</v>
      </c>
      <c r="P76" s="483"/>
      <c r="Q76" s="483"/>
      <c r="R76" s="479"/>
      <c r="S76" s="479"/>
      <c r="T76" s="479"/>
      <c r="U76" s="479"/>
      <c r="V76" s="483">
        <f>V75/('Calcul Fr métro'!W113*'Calcul Fr métro'!W115)</f>
        <v>3.7014340017399908E-2</v>
      </c>
      <c r="W76" s="485"/>
      <c r="X76" s="157"/>
      <c r="Y76" s="157"/>
      <c r="Z76" s="157"/>
      <c r="AA76" s="157"/>
      <c r="AB76" s="157"/>
      <c r="AC76" s="157"/>
      <c r="AD76" s="157"/>
      <c r="AE76" s="157"/>
      <c r="AF76" s="157"/>
      <c r="AG76" s="157"/>
      <c r="AH76" s="157"/>
      <c r="AI76" s="157"/>
      <c r="AJ76" s="157"/>
      <c r="AK76" s="157"/>
      <c r="AL76" s="157"/>
      <c r="AM76" s="157"/>
      <c r="AN76" s="157"/>
      <c r="AO76" s="157"/>
      <c r="AP76" s="157"/>
      <c r="AQ76" s="157"/>
      <c r="AR76" s="157"/>
      <c r="AS76" s="157"/>
      <c r="AT76" s="157"/>
      <c r="AU76" s="157"/>
      <c r="AV76" s="157"/>
      <c r="AW76" s="157"/>
      <c r="AX76" s="157"/>
      <c r="AY76" s="157"/>
      <c r="AZ76" s="157"/>
      <c r="BA76" s="157"/>
      <c r="BB76" s="157"/>
      <c r="BC76" s="157"/>
      <c r="BD76" s="157"/>
      <c r="BE76" s="157"/>
      <c r="BF76" s="157"/>
      <c r="BG76" s="157"/>
      <c r="BH76" s="157"/>
      <c r="BI76" s="157"/>
      <c r="BJ76" s="157"/>
      <c r="BK76" s="157"/>
      <c r="BL76" s="157"/>
      <c r="BM76" s="157"/>
      <c r="BN76" s="157"/>
      <c r="BO76" s="157"/>
      <c r="BP76" s="90"/>
      <c r="BQ76" s="90"/>
      <c r="BR76" s="90"/>
      <c r="BS76" s="90"/>
      <c r="BT76" s="90"/>
      <c r="BU76" s="90"/>
      <c r="BV76" s="90"/>
      <c r="BW76" s="90"/>
      <c r="BX76" s="90"/>
      <c r="BY76" s="90"/>
      <c r="BZ76" s="90"/>
    </row>
    <row r="77" spans="1:78" x14ac:dyDescent="0.3">
      <c r="A77" s="432" t="s">
        <v>452</v>
      </c>
      <c r="B77" s="233">
        <f>'Calcul R84'!C81</f>
        <v>314423</v>
      </c>
      <c r="C77" s="247">
        <f>'Calcul R84'!D81</f>
        <v>310686</v>
      </c>
      <c r="D77" s="247">
        <f>'Calcul R84'!E81</f>
        <v>312879</v>
      </c>
      <c r="E77" s="247">
        <f>'Calcul R84'!F81</f>
        <v>315662</v>
      </c>
      <c r="F77" s="247">
        <f>'Calcul R84'!G81</f>
        <v>331765</v>
      </c>
      <c r="G77" s="247">
        <f>'Calcul R84'!H81</f>
        <v>310870</v>
      </c>
      <c r="H77" s="247">
        <f>'Calcul R84'!I81</f>
        <v>301436</v>
      </c>
      <c r="I77" s="247">
        <f>'Calcul R84'!J81</f>
        <v>296461</v>
      </c>
      <c r="J77" s="247">
        <f>'Calcul R84'!K81</f>
        <v>280459</v>
      </c>
      <c r="K77" s="247">
        <f>'Calcul R84'!L81</f>
        <v>281965</v>
      </c>
      <c r="L77" s="247">
        <f>'Calcul R84'!M81</f>
        <v>306656</v>
      </c>
      <c r="M77" s="247">
        <f>'Calcul R84'!N81</f>
        <v>298583</v>
      </c>
      <c r="N77" s="247">
        <f>'Calcul R84'!O81</f>
        <v>290295</v>
      </c>
      <c r="O77" s="247">
        <f>'Calcul R84'!P81</f>
        <v>258871</v>
      </c>
      <c r="P77" s="247">
        <f>'Calcul R84'!Q81</f>
        <v>0</v>
      </c>
      <c r="Q77" s="247">
        <f>'Calcul R84'!R81</f>
        <v>0</v>
      </c>
      <c r="R77" s="247">
        <f>'Calcul R84'!S81</f>
        <v>0</v>
      </c>
      <c r="S77" s="247">
        <f>'Calcul R84'!T81</f>
        <v>0</v>
      </c>
      <c r="T77" s="247">
        <f>'Calcul R84'!U81</f>
        <v>0</v>
      </c>
      <c r="U77" s="247">
        <f>'Calcul R84'!V81</f>
        <v>0</v>
      </c>
      <c r="V77" s="247">
        <f>'Calcul R84'!W81</f>
        <v>282583</v>
      </c>
      <c r="W77" s="247">
        <f>'Calcul R84'!X81</f>
        <v>282583</v>
      </c>
      <c r="X77" s="157"/>
      <c r="Y77" s="157"/>
      <c r="Z77" s="157"/>
      <c r="AA77" s="157"/>
      <c r="AB77" s="157"/>
      <c r="AC77" s="157"/>
      <c r="AD77" s="157"/>
      <c r="AE77" s="157"/>
      <c r="AF77" s="157"/>
      <c r="AG77" s="157"/>
      <c r="AH77" s="157"/>
      <c r="AI77" s="157"/>
      <c r="AJ77" s="157"/>
      <c r="AK77" s="157"/>
      <c r="AL77" s="157"/>
      <c r="AM77" s="157"/>
      <c r="AN77" s="157"/>
      <c r="AO77" s="157"/>
      <c r="AP77" s="157"/>
      <c r="AQ77" s="157"/>
      <c r="AR77" s="157"/>
      <c r="AS77" s="157"/>
      <c r="AT77" s="157"/>
      <c r="AU77" s="157"/>
      <c r="AV77" s="157"/>
      <c r="AW77" s="157"/>
      <c r="AX77" s="157"/>
      <c r="AY77" s="157"/>
      <c r="AZ77" s="157"/>
      <c r="BA77" s="157"/>
      <c r="BB77" s="157"/>
      <c r="BC77" s="157"/>
      <c r="BD77" s="157"/>
      <c r="BE77" s="157"/>
      <c r="BF77" s="157"/>
      <c r="BG77" s="157"/>
      <c r="BH77" s="157"/>
      <c r="BI77" s="157"/>
      <c r="BJ77" s="157"/>
      <c r="BK77" s="157"/>
      <c r="BL77" s="157"/>
      <c r="BM77" s="157"/>
      <c r="BN77" s="157"/>
      <c r="BO77" s="157"/>
      <c r="BP77" s="90"/>
      <c r="BQ77" s="90"/>
      <c r="BR77" s="90"/>
      <c r="BS77" s="90"/>
      <c r="BT77" s="90"/>
      <c r="BU77" s="90"/>
      <c r="BV77" s="90"/>
      <c r="BW77" s="90"/>
      <c r="BX77" s="90"/>
      <c r="BY77" s="90"/>
      <c r="BZ77" s="90"/>
    </row>
    <row r="78" spans="1:78" x14ac:dyDescent="0.3">
      <c r="A78" s="433" t="s">
        <v>453</v>
      </c>
      <c r="B78" s="440">
        <f>'Calcul R84'!C83</f>
        <v>7.06</v>
      </c>
      <c r="C78" s="253">
        <f>'Calcul R84'!D83</f>
        <v>7.52</v>
      </c>
      <c r="D78" s="253">
        <f>'Calcul R84'!E83</f>
        <v>7.33</v>
      </c>
      <c r="E78" s="253">
        <f>'Calcul R84'!F83</f>
        <v>6.9</v>
      </c>
      <c r="F78" s="253">
        <f>'Calcul R84'!G83</f>
        <v>8</v>
      </c>
      <c r="G78" s="253">
        <f>'Calcul R84'!H83</f>
        <v>6.34</v>
      </c>
      <c r="H78" s="253">
        <f>'Calcul R84'!I83</f>
        <v>6.87</v>
      </c>
      <c r="I78" s="253">
        <f>'Calcul R84'!J83</f>
        <v>7.25</v>
      </c>
      <c r="J78" s="253">
        <f>'Calcul R84'!K83</f>
        <v>6.77</v>
      </c>
      <c r="K78" s="253">
        <f>'Calcul R84'!L83</f>
        <v>6.5</v>
      </c>
      <c r="L78" s="253">
        <f>'Calcul R84'!M83</f>
        <v>5.95</v>
      </c>
      <c r="M78" s="253">
        <f>'Calcul R84'!N83</f>
        <v>7.58</v>
      </c>
      <c r="N78" s="253">
        <f>'Calcul R84'!O83</f>
        <v>5.87</v>
      </c>
      <c r="O78" s="253">
        <f>'Calcul R84'!P83</f>
        <v>6.92</v>
      </c>
      <c r="P78" s="253">
        <f>'Calcul R84'!Q83</f>
        <v>0</v>
      </c>
      <c r="Q78" s="253">
        <f>'Calcul R84'!R83</f>
        <v>0</v>
      </c>
      <c r="R78" s="253">
        <f>'Calcul R84'!S83</f>
        <v>0</v>
      </c>
      <c r="S78" s="253">
        <f>'Calcul R84'!T83</f>
        <v>0</v>
      </c>
      <c r="T78" s="253">
        <f>'Calcul R84'!U83</f>
        <v>0</v>
      </c>
      <c r="U78" s="253">
        <f>'Calcul R84'!V83</f>
        <v>0</v>
      </c>
      <c r="V78" s="253">
        <f>'Calcul R84'!W83</f>
        <v>6.43</v>
      </c>
      <c r="W78" s="253">
        <f>'Calcul R84'!X83</f>
        <v>6.43</v>
      </c>
      <c r="X78" s="157"/>
      <c r="Y78" s="157"/>
      <c r="Z78" s="157"/>
      <c r="AA78" s="157"/>
      <c r="AB78" s="157"/>
      <c r="AC78" s="157"/>
      <c r="AD78" s="157"/>
      <c r="AE78" s="157"/>
      <c r="AF78" s="157"/>
      <c r="AG78" s="157"/>
      <c r="AH78" s="157"/>
      <c r="AI78" s="157"/>
      <c r="AJ78" s="157"/>
      <c r="AK78" s="157"/>
      <c r="AL78" s="157"/>
      <c r="AM78" s="157"/>
      <c r="AN78" s="157"/>
      <c r="AO78" s="157"/>
      <c r="AP78" s="157"/>
      <c r="AQ78" s="157"/>
      <c r="AR78" s="157"/>
      <c r="AS78" s="157"/>
      <c r="AT78" s="157"/>
      <c r="AU78" s="157"/>
      <c r="AV78" s="157"/>
      <c r="AW78" s="157"/>
      <c r="AX78" s="157"/>
      <c r="AY78" s="157"/>
      <c r="AZ78" s="157"/>
      <c r="BA78" s="157"/>
      <c r="BB78" s="157"/>
      <c r="BC78" s="157"/>
      <c r="BD78" s="157"/>
      <c r="BE78" s="157"/>
      <c r="BF78" s="157"/>
      <c r="BG78" s="157"/>
      <c r="BH78" s="157"/>
      <c r="BI78" s="157"/>
      <c r="BJ78" s="157"/>
      <c r="BK78" s="157"/>
      <c r="BL78" s="157"/>
      <c r="BM78" s="157"/>
      <c r="BN78" s="157"/>
      <c r="BO78" s="157"/>
      <c r="BP78" s="90"/>
      <c r="BQ78" s="90"/>
      <c r="BR78" s="90"/>
      <c r="BS78" s="90"/>
      <c r="BT78" s="90"/>
      <c r="BU78" s="90"/>
      <c r="BV78" s="90"/>
      <c r="BW78" s="90"/>
      <c r="BX78" s="90"/>
      <c r="BY78" s="90"/>
      <c r="BZ78" s="90"/>
    </row>
    <row r="79" spans="1:78" x14ac:dyDescent="0.3">
      <c r="A79" s="433" t="s">
        <v>454</v>
      </c>
      <c r="B79" s="58">
        <f t="shared" ref="B79:W79" si="2">B78*B77</f>
        <v>2219826.38</v>
      </c>
      <c r="C79" s="53">
        <f t="shared" si="2"/>
        <v>2336358.7199999997</v>
      </c>
      <c r="D79" s="53">
        <f t="shared" si="2"/>
        <v>2293403.0699999998</v>
      </c>
      <c r="E79" s="53">
        <f t="shared" si="2"/>
        <v>2178067.8000000003</v>
      </c>
      <c r="F79" s="53">
        <f t="shared" si="2"/>
        <v>2654120</v>
      </c>
      <c r="G79" s="53">
        <f t="shared" si="2"/>
        <v>1970915.8</v>
      </c>
      <c r="H79" s="53">
        <f t="shared" si="2"/>
        <v>2070865.32</v>
      </c>
      <c r="I79" s="53">
        <f t="shared" si="2"/>
        <v>2149342.25</v>
      </c>
      <c r="J79" s="53">
        <f t="shared" si="2"/>
        <v>1898707.43</v>
      </c>
      <c r="K79" s="53">
        <f t="shared" si="2"/>
        <v>1832772.5</v>
      </c>
      <c r="L79" s="53">
        <f t="shared" si="2"/>
        <v>1824603.2</v>
      </c>
      <c r="M79" s="53">
        <f t="shared" si="2"/>
        <v>2263259.14</v>
      </c>
      <c r="N79" s="53">
        <f t="shared" si="2"/>
        <v>1704031.6500000001</v>
      </c>
      <c r="O79" s="53">
        <f t="shared" si="2"/>
        <v>1791387.32</v>
      </c>
      <c r="P79" s="53">
        <f t="shared" si="2"/>
        <v>0</v>
      </c>
      <c r="Q79" s="53">
        <f t="shared" si="2"/>
        <v>0</v>
      </c>
      <c r="R79" s="53">
        <f t="shared" si="2"/>
        <v>0</v>
      </c>
      <c r="S79" s="53">
        <f t="shared" si="2"/>
        <v>0</v>
      </c>
      <c r="T79" s="53">
        <f t="shared" si="2"/>
        <v>0</v>
      </c>
      <c r="U79" s="53">
        <f t="shared" si="2"/>
        <v>0</v>
      </c>
      <c r="V79" s="53">
        <f t="shared" si="2"/>
        <v>1817008.69</v>
      </c>
      <c r="W79" s="53">
        <f t="shared" si="2"/>
        <v>1817008.69</v>
      </c>
      <c r="X79" s="157"/>
      <c r="Y79" s="157"/>
      <c r="Z79" s="157"/>
      <c r="AA79" s="157"/>
      <c r="AB79" s="157"/>
      <c r="AC79" s="157"/>
      <c r="AD79" s="157"/>
      <c r="AE79" s="157"/>
      <c r="AF79" s="157"/>
      <c r="AG79" s="157"/>
      <c r="AH79" s="157"/>
      <c r="AI79" s="157"/>
      <c r="AJ79" s="157"/>
      <c r="AK79" s="157"/>
      <c r="AL79" s="157"/>
      <c r="AM79" s="157"/>
      <c r="AN79" s="157"/>
      <c r="AO79" s="157"/>
      <c r="AP79" s="157"/>
      <c r="AQ79" s="157"/>
      <c r="AR79" s="157"/>
      <c r="AS79" s="157"/>
      <c r="AT79" s="157"/>
      <c r="AU79" s="157"/>
      <c r="AV79" s="157"/>
      <c r="AW79" s="157"/>
      <c r="AX79" s="157"/>
      <c r="AY79" s="157"/>
      <c r="AZ79" s="157"/>
      <c r="BA79" s="157"/>
      <c r="BB79" s="157"/>
      <c r="BC79" s="157"/>
      <c r="BD79" s="157"/>
      <c r="BE79" s="157"/>
      <c r="BF79" s="157"/>
      <c r="BG79" s="157"/>
      <c r="BH79" s="157"/>
      <c r="BI79" s="157"/>
      <c r="BJ79" s="157"/>
      <c r="BK79" s="157"/>
      <c r="BL79" s="157"/>
      <c r="BM79" s="157"/>
      <c r="BN79" s="157"/>
      <c r="BO79" s="157"/>
      <c r="BP79" s="90"/>
      <c r="BQ79" s="90"/>
      <c r="BR79" s="90"/>
      <c r="BS79" s="90"/>
      <c r="BT79" s="90"/>
      <c r="BU79" s="90"/>
      <c r="BV79" s="90"/>
      <c r="BW79" s="90"/>
      <c r="BX79" s="90"/>
      <c r="BY79" s="90"/>
      <c r="BZ79" s="90"/>
    </row>
    <row r="80" spans="1:78" x14ac:dyDescent="0.3">
      <c r="A80" s="481" t="s">
        <v>422</v>
      </c>
      <c r="B80" s="482">
        <f>B79/('Calcul Fr métro'!C120*'Calcul Fr métro'!C122)</f>
        <v>8.0762154197395825E-2</v>
      </c>
      <c r="C80" s="483">
        <f>C79/('Calcul Fr métro'!D120*'Calcul Fr métro'!D122)</f>
        <v>8.3039469924662448E-2</v>
      </c>
      <c r="D80" s="483">
        <f>D79/('Calcul Fr métro'!E120*'Calcul Fr métro'!E122)</f>
        <v>7.4960522522163786E-2</v>
      </c>
      <c r="E80" s="483">
        <f>E79/('Calcul Fr métro'!F120*'Calcul Fr métro'!F122)</f>
        <v>7.5425554353087565E-2</v>
      </c>
      <c r="F80" s="483">
        <f>F79/('Calcul Fr métro'!G120*'Calcul Fr métro'!G122)</f>
        <v>7.8372114806342791E-2</v>
      </c>
      <c r="G80" s="483">
        <f>G79/('Calcul Fr métro'!H120*'Calcul Fr métro'!H122)</f>
        <v>6.5046671974385017E-2</v>
      </c>
      <c r="H80" s="483">
        <f>H79/('Calcul Fr métro'!I120*'Calcul Fr métro'!I122)</f>
        <v>8.292816147159747E-2</v>
      </c>
      <c r="I80" s="483">
        <f>I79/('Calcul Fr métro'!J120*'Calcul Fr métro'!J122)</f>
        <v>7.1780316739909172E-2</v>
      </c>
      <c r="J80" s="483">
        <f>J79/('Calcul Fr métro'!K120*'Calcul Fr métro'!K122)</f>
        <v>7.0767787195853638E-2</v>
      </c>
      <c r="K80" s="483">
        <f>K79/('Calcul Fr métro'!L120*'Calcul Fr métro'!L122)</f>
        <v>6.0761463355979643E-2</v>
      </c>
      <c r="L80" s="483">
        <f>L79/('Calcul Fr métro'!M120*'Calcul Fr métro'!M122)</f>
        <v>6.7215169336239194E-2</v>
      </c>
      <c r="M80" s="483">
        <f>M79/('Calcul Fr métro'!N120*'Calcul Fr métro'!N122)</f>
        <v>7.4011669036969707E-2</v>
      </c>
      <c r="N80" s="483">
        <f>N79/('Calcul Fr métro'!O120*'Calcul Fr métro'!O122)</f>
        <v>6.6790186184561035E-2</v>
      </c>
      <c r="O80" s="483">
        <f>O79/('Calcul Fr métro'!P120*'Calcul Fr métro'!P122)</f>
        <v>6.2996250905300588E-2</v>
      </c>
      <c r="P80" s="479"/>
      <c r="Q80" s="479"/>
      <c r="R80" s="479"/>
      <c r="S80" s="479"/>
      <c r="T80" s="479"/>
      <c r="U80" s="479"/>
      <c r="V80" s="483">
        <f>V79/('Calcul Fr métro'!W120*'Calcul Fr métro'!W122)</f>
        <v>6.5817512123894875E-2</v>
      </c>
      <c r="W80" s="486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</row>
    <row r="81" spans="1:67" x14ac:dyDescent="0.3">
      <c r="A81" s="432" t="s">
        <v>455</v>
      </c>
      <c r="B81" s="233">
        <f>'Calcul R84'!C89</f>
        <v>32892</v>
      </c>
      <c r="C81" s="247">
        <f>'Calcul R84'!D89</f>
        <v>37202</v>
      </c>
      <c r="D81" s="247">
        <f>'Calcul R84'!E89</f>
        <v>36117</v>
      </c>
      <c r="E81" s="247">
        <f>'Calcul R84'!F89</f>
        <v>36020</v>
      </c>
      <c r="F81" s="247">
        <f>'Calcul R84'!G89</f>
        <v>36915</v>
      </c>
      <c r="G81" s="247">
        <f>'Calcul R84'!H89</f>
        <v>35675</v>
      </c>
      <c r="H81" s="247">
        <f>'Calcul R84'!I89</f>
        <v>37017</v>
      </c>
      <c r="I81" s="247">
        <f>'Calcul R84'!J89</f>
        <v>41115</v>
      </c>
      <c r="J81" s="247">
        <f>'Calcul R84'!K89</f>
        <v>47995</v>
      </c>
      <c r="K81" s="247">
        <f>'Calcul R84'!L89</f>
        <v>30691</v>
      </c>
      <c r="L81" s="247">
        <f>'Calcul R84'!M89</f>
        <v>28887</v>
      </c>
      <c r="M81" s="247">
        <f>'Calcul R84'!N89</f>
        <v>27163</v>
      </c>
      <c r="N81" s="247">
        <f>'Calcul R84'!O89</f>
        <v>36267</v>
      </c>
      <c r="O81" s="247">
        <f>'Calcul R84'!P89</f>
        <v>43267</v>
      </c>
      <c r="P81" s="247">
        <f>'Calcul R84'!Q89</f>
        <v>0</v>
      </c>
      <c r="Q81" s="247">
        <f>'Calcul R84'!R89</f>
        <v>0</v>
      </c>
      <c r="R81" s="247">
        <f>'Calcul R84'!S89</f>
        <v>0</v>
      </c>
      <c r="S81" s="247">
        <f>'Calcul R84'!T89</f>
        <v>0</v>
      </c>
      <c r="T81" s="247">
        <f>'Calcul R84'!U89</f>
        <v>0</v>
      </c>
      <c r="U81" s="247">
        <f>'Calcul R84'!V89</f>
        <v>0</v>
      </c>
      <c r="V81" s="247">
        <f>'Calcul R84'!W89</f>
        <v>35565.666666666664</v>
      </c>
      <c r="W81" s="247">
        <f>'Calcul R84'!X89</f>
        <v>35565.666666666664</v>
      </c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</row>
    <row r="82" spans="1:67" x14ac:dyDescent="0.3">
      <c r="A82" s="433" t="s">
        <v>456</v>
      </c>
      <c r="B82" s="440">
        <f>'Calcul R84'!C91</f>
        <v>2.93</v>
      </c>
      <c r="C82" s="253">
        <f>'Calcul R84'!D91</f>
        <v>2.62</v>
      </c>
      <c r="D82" s="253">
        <f>'Calcul R84'!E91</f>
        <v>3.07</v>
      </c>
      <c r="E82" s="253">
        <f>'Calcul R84'!F91</f>
        <v>2.82</v>
      </c>
      <c r="F82" s="253">
        <f>'Calcul R84'!G91</f>
        <v>3.31</v>
      </c>
      <c r="G82" s="253">
        <f>'Calcul R84'!H91</f>
        <v>2.98</v>
      </c>
      <c r="H82" s="253">
        <f>'Calcul R84'!I91</f>
        <v>3.47</v>
      </c>
      <c r="I82" s="253">
        <f>'Calcul R84'!J91</f>
        <v>3.6</v>
      </c>
      <c r="J82" s="253">
        <f>'Calcul R84'!K91</f>
        <v>3.14</v>
      </c>
      <c r="K82" s="253">
        <f>'Calcul R84'!L91</f>
        <v>2.68</v>
      </c>
      <c r="L82" s="253">
        <f>'Calcul R84'!M91</f>
        <v>2.73</v>
      </c>
      <c r="M82" s="253">
        <f>'Calcul R84'!N91</f>
        <v>3.17</v>
      </c>
      <c r="N82" s="253">
        <f>'Calcul R84'!O91</f>
        <v>2.99</v>
      </c>
      <c r="O82" s="253">
        <f>'Calcul R84'!P91</f>
        <v>3.1</v>
      </c>
      <c r="P82" s="253">
        <f>'Calcul R84'!Q91</f>
        <v>0</v>
      </c>
      <c r="Q82" s="253">
        <f>'Calcul R84'!R91</f>
        <v>0</v>
      </c>
      <c r="R82" s="253">
        <f>'Calcul R84'!S91</f>
        <v>0</v>
      </c>
      <c r="S82" s="253">
        <f>'Calcul R84'!T91</f>
        <v>0</v>
      </c>
      <c r="T82" s="253">
        <f>'Calcul R84'!U91</f>
        <v>0</v>
      </c>
      <c r="U82" s="253">
        <f>'Calcul R84'!V91</f>
        <v>0</v>
      </c>
      <c r="V82" s="253">
        <f>'Calcul R84'!W91</f>
        <v>2.93</v>
      </c>
      <c r="W82" s="253">
        <f>'Calcul R84'!X91</f>
        <v>2.93</v>
      </c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</row>
    <row r="83" spans="1:67" x14ac:dyDescent="0.3">
      <c r="A83" s="433" t="s">
        <v>457</v>
      </c>
      <c r="B83" s="58">
        <f t="shared" ref="B83:W83" si="3">B82*B81</f>
        <v>96373.560000000012</v>
      </c>
      <c r="C83" s="53">
        <f t="shared" si="3"/>
        <v>97469.24</v>
      </c>
      <c r="D83" s="53">
        <f t="shared" si="3"/>
        <v>110879.18999999999</v>
      </c>
      <c r="E83" s="53">
        <f t="shared" si="3"/>
        <v>101576.4</v>
      </c>
      <c r="F83" s="53">
        <f t="shared" si="3"/>
        <v>122188.65000000001</v>
      </c>
      <c r="G83" s="53">
        <f t="shared" si="3"/>
        <v>106311.5</v>
      </c>
      <c r="H83" s="53">
        <f t="shared" si="3"/>
        <v>128448.99</v>
      </c>
      <c r="I83" s="53">
        <f t="shared" si="3"/>
        <v>148014</v>
      </c>
      <c r="J83" s="53">
        <f t="shared" si="3"/>
        <v>150704.30000000002</v>
      </c>
      <c r="K83" s="53">
        <f t="shared" si="3"/>
        <v>82251.88</v>
      </c>
      <c r="L83" s="53">
        <f t="shared" si="3"/>
        <v>78861.509999999995</v>
      </c>
      <c r="M83" s="53">
        <f t="shared" si="3"/>
        <v>86106.709999999992</v>
      </c>
      <c r="N83" s="53">
        <f t="shared" si="3"/>
        <v>108438.33</v>
      </c>
      <c r="O83" s="53">
        <f t="shared" si="3"/>
        <v>134127.70000000001</v>
      </c>
      <c r="P83" s="53">
        <f t="shared" si="3"/>
        <v>0</v>
      </c>
      <c r="Q83" s="53">
        <f t="shared" si="3"/>
        <v>0</v>
      </c>
      <c r="R83" s="53">
        <f t="shared" si="3"/>
        <v>0</v>
      </c>
      <c r="S83" s="53">
        <f t="shared" si="3"/>
        <v>0</v>
      </c>
      <c r="T83" s="53">
        <f t="shared" si="3"/>
        <v>0</v>
      </c>
      <c r="U83" s="53">
        <f t="shared" si="3"/>
        <v>0</v>
      </c>
      <c r="V83" s="53">
        <f t="shared" si="3"/>
        <v>104207.40333333334</v>
      </c>
      <c r="W83" s="53">
        <f t="shared" si="3"/>
        <v>104207.40333333334</v>
      </c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</row>
    <row r="84" spans="1:67" x14ac:dyDescent="0.3">
      <c r="A84" s="481" t="s">
        <v>422</v>
      </c>
      <c r="B84" s="482">
        <f>B83/('Calcul Fr métro'!C127*'Calcul Fr métro'!C129)</f>
        <v>2.0011651513050167E-2</v>
      </c>
      <c r="C84" s="483">
        <f>C83/('Calcul Fr métro'!D127*'Calcul Fr métro'!D129)</f>
        <v>1.8161381238686665E-2</v>
      </c>
      <c r="D84" s="483">
        <f>D83/('Calcul Fr métro'!E127*'Calcul Fr métro'!E129)</f>
        <v>2.029441800224668E-2</v>
      </c>
      <c r="E84" s="483">
        <f>E83/('Calcul Fr métro'!F127*'Calcul Fr métro'!F129)</f>
        <v>2.3254510188721041E-2</v>
      </c>
      <c r="F84" s="483">
        <f>F83/('Calcul Fr métro'!G127*'Calcul Fr métro'!G129)</f>
        <v>2.2089340468604782E-2</v>
      </c>
      <c r="G84" s="483">
        <f>G83/('Calcul Fr métro'!H127*'Calcul Fr métro'!H129)</f>
        <v>1.9945193086237736E-2</v>
      </c>
      <c r="H84" s="483">
        <f>H83/('Calcul Fr métro'!I127*'Calcul Fr métro'!I129)</f>
        <v>2.7073785322699318E-2</v>
      </c>
      <c r="I84" s="483">
        <f>I83/('Calcul Fr métro'!J127*'Calcul Fr métro'!J129)</f>
        <v>2.7866867120189542E-2</v>
      </c>
      <c r="J84" s="483">
        <f>J83/('Calcul Fr métro'!K127*'Calcul Fr métro'!K129)</f>
        <v>3.0267413382416643E-2</v>
      </c>
      <c r="K84" s="483">
        <f>K83/('Calcul Fr métro'!L127*'Calcul Fr métro'!L129)</f>
        <v>2.3364420169788101E-2</v>
      </c>
      <c r="L84" s="483">
        <f>L83/('Calcul Fr métro'!M127*'Calcul Fr métro'!M129)</f>
        <v>2.3939016744144299E-2</v>
      </c>
      <c r="M84" s="483">
        <f>M83/('Calcul Fr métro'!N127*'Calcul Fr métro'!N129)</f>
        <v>2.6069022200444623E-2</v>
      </c>
      <c r="N84" s="483">
        <f>N83/('Calcul Fr métro'!O127*'Calcul Fr métro'!O129)</f>
        <v>2.4019188605979094E-2</v>
      </c>
      <c r="O84" s="483">
        <f>O83/('Calcul Fr métro'!P127*'Calcul Fr métro'!P129)</f>
        <v>3.1455545171011311E-2</v>
      </c>
      <c r="P84" s="483"/>
      <c r="Q84" s="483"/>
      <c r="R84" s="483"/>
      <c r="S84" s="483"/>
      <c r="T84" s="483"/>
      <c r="U84" s="483"/>
      <c r="V84" s="483">
        <f>V83/('Calcul Fr métro'!W127*'Calcul Fr métro'!W129)</f>
        <v>2.6889547008666251E-2</v>
      </c>
      <c r="W84" s="486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</row>
    <row r="85" spans="1:67" x14ac:dyDescent="0.3">
      <c r="A85" s="432" t="s">
        <v>458</v>
      </c>
      <c r="B85" s="233">
        <f>'Calcul R84'!C96</f>
        <v>34478</v>
      </c>
      <c r="C85" s="247">
        <f>'Calcul R84'!D96</f>
        <v>37940</v>
      </c>
      <c r="D85" s="247">
        <f>'Calcul R84'!E96</f>
        <v>35625</v>
      </c>
      <c r="E85" s="247">
        <f>'Calcul R84'!F96</f>
        <v>31995</v>
      </c>
      <c r="F85" s="247">
        <f>'Calcul R84'!G96</f>
        <v>34065</v>
      </c>
      <c r="G85" s="247">
        <f>'Calcul R84'!H96</f>
        <v>30153</v>
      </c>
      <c r="H85" s="247">
        <f>'Calcul R84'!I96</f>
        <v>25685</v>
      </c>
      <c r="I85" s="247">
        <f>'Calcul R84'!J96</f>
        <v>29225</v>
      </c>
      <c r="J85" s="247">
        <f>'Calcul R84'!K96</f>
        <v>27020</v>
      </c>
      <c r="K85" s="247">
        <f>'Calcul R84'!L96</f>
        <v>28959</v>
      </c>
      <c r="L85" s="247">
        <f>'Calcul R84'!M96</f>
        <v>34468</v>
      </c>
      <c r="M85" s="247">
        <f>'Calcul R84'!N96</f>
        <v>33755</v>
      </c>
      <c r="N85" s="247">
        <f>'Calcul R84'!O96</f>
        <v>44215</v>
      </c>
      <c r="O85" s="247">
        <f>'Calcul R84'!P96</f>
        <v>44370</v>
      </c>
      <c r="P85" s="247">
        <f>'Calcul R84'!Q96</f>
        <v>0</v>
      </c>
      <c r="Q85" s="247">
        <f>'Calcul R84'!R96</f>
        <v>0</v>
      </c>
      <c r="R85" s="247">
        <f>'Calcul R84'!S96</f>
        <v>0</v>
      </c>
      <c r="S85" s="247">
        <f>'Calcul R84'!T96</f>
        <v>0</v>
      </c>
      <c r="T85" s="247">
        <f>'Calcul R84'!U96</f>
        <v>0</v>
      </c>
      <c r="U85" s="247">
        <f>'Calcul R84'!V96</f>
        <v>0</v>
      </c>
      <c r="V85" s="247">
        <f>'Calcul R84'!W96</f>
        <v>40780</v>
      </c>
      <c r="W85" s="247">
        <f>'Calcul R84'!X96</f>
        <v>40780</v>
      </c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</row>
    <row r="86" spans="1:67" x14ac:dyDescent="0.3">
      <c r="A86" s="433" t="s">
        <v>459</v>
      </c>
      <c r="B86" s="440">
        <f>'Calcul R84'!C98</f>
        <v>2.38</v>
      </c>
      <c r="C86" s="253">
        <f>'Calcul R84'!D98</f>
        <v>2.92</v>
      </c>
      <c r="D86" s="253">
        <f>'Calcul R84'!E98</f>
        <v>2.57</v>
      </c>
      <c r="E86" s="253">
        <f>'Calcul R84'!F98</f>
        <v>2.1</v>
      </c>
      <c r="F86" s="253">
        <f>'Calcul R84'!G98</f>
        <v>2.31</v>
      </c>
      <c r="G86" s="253">
        <f>'Calcul R84'!H98</f>
        <v>1.92</v>
      </c>
      <c r="H86" s="253">
        <f>'Calcul R84'!I98</f>
        <v>2.46</v>
      </c>
      <c r="I86" s="253">
        <f>'Calcul R84'!J98</f>
        <v>2.58</v>
      </c>
      <c r="J86" s="253">
        <f>'Calcul R84'!K98</f>
        <v>2.4</v>
      </c>
      <c r="K86" s="253">
        <f>'Calcul R84'!L98</f>
        <v>2.2799999999999998</v>
      </c>
      <c r="L86" s="253">
        <f>'Calcul R84'!M98</f>
        <v>2.27</v>
      </c>
      <c r="M86" s="253">
        <f>'Calcul R84'!N98</f>
        <v>2.7</v>
      </c>
      <c r="N86" s="253">
        <f>'Calcul R84'!O98</f>
        <v>2.34</v>
      </c>
      <c r="O86" s="253">
        <f>'Calcul R84'!P98</f>
        <v>2.48</v>
      </c>
      <c r="P86" s="253">
        <f>'Calcul R84'!Q98</f>
        <v>0</v>
      </c>
      <c r="Q86" s="253">
        <f>'Calcul R84'!R98</f>
        <v>0</v>
      </c>
      <c r="R86" s="253">
        <f>'Calcul R84'!S98</f>
        <v>0</v>
      </c>
      <c r="S86" s="253">
        <f>'Calcul R84'!T98</f>
        <v>0</v>
      </c>
      <c r="T86" s="253">
        <f>'Calcul R84'!U98</f>
        <v>0</v>
      </c>
      <c r="U86" s="253">
        <f>'Calcul R84'!V98</f>
        <v>0</v>
      </c>
      <c r="V86" s="253">
        <f>'Calcul R84'!W98</f>
        <v>2.41</v>
      </c>
      <c r="W86" s="253">
        <f>'Calcul R84'!X98</f>
        <v>2.41</v>
      </c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</row>
    <row r="87" spans="1:67" x14ac:dyDescent="0.3">
      <c r="A87" s="433" t="s">
        <v>460</v>
      </c>
      <c r="B87" s="58">
        <f t="shared" ref="B87:W87" si="4">B86*B85</f>
        <v>82057.64</v>
      </c>
      <c r="C87" s="53">
        <f t="shared" si="4"/>
        <v>110784.8</v>
      </c>
      <c r="D87" s="53">
        <f t="shared" si="4"/>
        <v>91556.25</v>
      </c>
      <c r="E87" s="53">
        <f t="shared" si="4"/>
        <v>67189.5</v>
      </c>
      <c r="F87" s="53">
        <f t="shared" si="4"/>
        <v>78690.150000000009</v>
      </c>
      <c r="G87" s="53">
        <f t="shared" si="4"/>
        <v>57893.759999999995</v>
      </c>
      <c r="H87" s="53">
        <f t="shared" si="4"/>
        <v>63185.1</v>
      </c>
      <c r="I87" s="53">
        <f t="shared" si="4"/>
        <v>75400.5</v>
      </c>
      <c r="J87" s="53">
        <f t="shared" si="4"/>
        <v>64848</v>
      </c>
      <c r="K87" s="53">
        <f t="shared" si="4"/>
        <v>66026.51999999999</v>
      </c>
      <c r="L87" s="53">
        <f t="shared" si="4"/>
        <v>78242.36</v>
      </c>
      <c r="M87" s="53">
        <f t="shared" si="4"/>
        <v>91138.5</v>
      </c>
      <c r="N87" s="53">
        <f t="shared" si="4"/>
        <v>103463.09999999999</v>
      </c>
      <c r="O87" s="53">
        <f t="shared" si="4"/>
        <v>110037.6</v>
      </c>
      <c r="P87" s="53">
        <f t="shared" si="4"/>
        <v>0</v>
      </c>
      <c r="Q87" s="53">
        <f t="shared" si="4"/>
        <v>0</v>
      </c>
      <c r="R87" s="53">
        <f t="shared" si="4"/>
        <v>0</v>
      </c>
      <c r="S87" s="53">
        <f t="shared" si="4"/>
        <v>0</v>
      </c>
      <c r="T87" s="53">
        <f t="shared" si="4"/>
        <v>0</v>
      </c>
      <c r="U87" s="53">
        <f t="shared" si="4"/>
        <v>0</v>
      </c>
      <c r="V87" s="53">
        <f t="shared" si="4"/>
        <v>98279.8</v>
      </c>
      <c r="W87" s="53">
        <f t="shared" si="4"/>
        <v>98279.8</v>
      </c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</row>
    <row r="88" spans="1:67" x14ac:dyDescent="0.3">
      <c r="A88" s="481" t="s">
        <v>422</v>
      </c>
      <c r="B88" s="482">
        <f>B87/('Calcul Fr métro'!C134*'Calcul Fr métro'!C136)</f>
        <v>5.022669994969841E-2</v>
      </c>
      <c r="C88" s="483">
        <f>C87/('Calcul Fr métro'!D134*'Calcul Fr métro'!D136)</f>
        <v>5.9116872322533411E-2</v>
      </c>
      <c r="D88" s="483">
        <f>D87/('Calcul Fr métro'!E134*'Calcul Fr métro'!E136)</f>
        <v>5.7756852264436387E-2</v>
      </c>
      <c r="E88" s="483">
        <f>E87/('Calcul Fr métro'!F134*'Calcul Fr métro'!F136)</f>
        <v>4.2774508581601769E-2</v>
      </c>
      <c r="F88" s="483">
        <f>F87/('Calcul Fr métro'!G134*'Calcul Fr métro'!G136)</f>
        <v>4.96844302804135E-2</v>
      </c>
      <c r="G88" s="483">
        <f>G87/('Calcul Fr métro'!H134*'Calcul Fr métro'!H136)</f>
        <v>4.8545998794923217E-2</v>
      </c>
      <c r="H88" s="483">
        <f>H87/('Calcul Fr métro'!I134*'Calcul Fr métro'!I136)</f>
        <v>5.4098631156536056E-2</v>
      </c>
      <c r="I88" s="483">
        <f>I87/('Calcul Fr métro'!J134*'Calcul Fr métro'!J136)</f>
        <v>4.7227699200134692E-2</v>
      </c>
      <c r="J88" s="483">
        <f>J87/('Calcul Fr métro'!K134*'Calcul Fr métro'!K136)</f>
        <v>5.2591135260040001E-2</v>
      </c>
      <c r="K88" s="483">
        <f>K87/('Calcul Fr métro'!L134*'Calcul Fr métro'!L136)</f>
        <v>5.1003391869562854E-2</v>
      </c>
      <c r="L88" s="483">
        <f>L87/('Calcul Fr métro'!M134*'Calcul Fr métro'!M136)</f>
        <v>4.8624857908331091E-2</v>
      </c>
      <c r="M88" s="483">
        <f>M87/('Calcul Fr métro'!N134*'Calcul Fr métro'!N136)</f>
        <v>4.7629122381715218E-2</v>
      </c>
      <c r="N88" s="483">
        <f>N87/('Calcul Fr métro'!O134*'Calcul Fr métro'!O136)</f>
        <v>5.7413620740880876E-2</v>
      </c>
      <c r="O88" s="483">
        <f>O87/('Calcul Fr métro'!P134*'Calcul Fr métro'!P136)</f>
        <v>5.3462766190038917E-2</v>
      </c>
      <c r="P88" s="483"/>
      <c r="Q88" s="483"/>
      <c r="R88" s="483"/>
      <c r="S88" s="483"/>
      <c r="T88" s="483"/>
      <c r="U88" s="483"/>
      <c r="V88" s="483">
        <f>V87/('Calcul Fr métro'!W134*'Calcul Fr métro'!W136)</f>
        <v>5.3447530090743323E-2</v>
      </c>
      <c r="W88" s="486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</row>
    <row r="89" spans="1:67" x14ac:dyDescent="0.3">
      <c r="A89" s="432" t="s">
        <v>461</v>
      </c>
      <c r="B89" s="233">
        <f>'Calcul R84'!C103</f>
        <v>5050</v>
      </c>
      <c r="C89" s="247">
        <f>'Calcul R84'!D103</f>
        <v>5676</v>
      </c>
      <c r="D89" s="247">
        <f>'Calcul R84'!E103</f>
        <v>4533</v>
      </c>
      <c r="E89" s="247">
        <f>'Calcul R84'!F103</f>
        <v>4510</v>
      </c>
      <c r="F89" s="247">
        <f>'Calcul R84'!G103</f>
        <v>7625</v>
      </c>
      <c r="G89" s="247">
        <f>'Calcul R84'!H103</f>
        <v>12817</v>
      </c>
      <c r="H89" s="247">
        <f>'Calcul R84'!I103</f>
        <v>13700</v>
      </c>
      <c r="I89" s="247">
        <f>'Calcul R84'!J103</f>
        <v>15930</v>
      </c>
      <c r="J89" s="247">
        <f>'Calcul R84'!K103</f>
        <v>15835</v>
      </c>
      <c r="K89" s="247">
        <f>'Calcul R84'!L103</f>
        <v>14465</v>
      </c>
      <c r="L89" s="247">
        <f>'Calcul R84'!M103</f>
        <v>14377</v>
      </c>
      <c r="M89" s="247">
        <f>'Calcul R84'!N103</f>
        <v>12352</v>
      </c>
      <c r="N89" s="247">
        <f>'Calcul R84'!O103</f>
        <v>17878</v>
      </c>
      <c r="O89" s="247">
        <f>'Calcul R84'!P103</f>
        <v>17450</v>
      </c>
      <c r="P89" s="247">
        <f>'Calcul R84'!Q103</f>
        <v>0</v>
      </c>
      <c r="Q89" s="247">
        <f>'Calcul R84'!R103</f>
        <v>0</v>
      </c>
      <c r="R89" s="247">
        <f>'Calcul R84'!S103</f>
        <v>0</v>
      </c>
      <c r="S89" s="247">
        <f>'Calcul R84'!T103</f>
        <v>0</v>
      </c>
      <c r="T89" s="247">
        <f>'Calcul R84'!U103</f>
        <v>0</v>
      </c>
      <c r="U89" s="247">
        <f>'Calcul R84'!V103</f>
        <v>0</v>
      </c>
      <c r="V89" s="247">
        <f>'Calcul R84'!W103</f>
        <v>15893.333333333334</v>
      </c>
      <c r="W89" s="247">
        <f>'Calcul R84'!X103</f>
        <v>15893.333333333334</v>
      </c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</row>
    <row r="90" spans="1:67" x14ac:dyDescent="0.3">
      <c r="A90" s="433" t="s">
        <v>462</v>
      </c>
      <c r="B90" s="440">
        <f>'Calcul R84'!C105</f>
        <v>2.92</v>
      </c>
      <c r="C90" s="253">
        <f>'Calcul R84'!D105</f>
        <v>3.06</v>
      </c>
      <c r="D90" s="253">
        <f>'Calcul R84'!E105</f>
        <v>2.93</v>
      </c>
      <c r="E90" s="253">
        <f>'Calcul R84'!F105</f>
        <v>2.98</v>
      </c>
      <c r="F90" s="253">
        <f>'Calcul R84'!G105</f>
        <v>3.17</v>
      </c>
      <c r="G90" s="253">
        <f>'Calcul R84'!H105</f>
        <v>2.79</v>
      </c>
      <c r="H90" s="253">
        <f>'Calcul R84'!I105</f>
        <v>3.27</v>
      </c>
      <c r="I90" s="253">
        <f>'Calcul R84'!J105</f>
        <v>3.47</v>
      </c>
      <c r="J90" s="253">
        <f>'Calcul R84'!K105</f>
        <v>3.07</v>
      </c>
      <c r="K90" s="253">
        <f>'Calcul R84'!L105</f>
        <v>2.93</v>
      </c>
      <c r="L90" s="253">
        <f>'Calcul R84'!M105</f>
        <v>2.5299999999999998</v>
      </c>
      <c r="M90" s="253">
        <f>'Calcul R84'!N105</f>
        <v>3.05</v>
      </c>
      <c r="N90" s="253">
        <f>'Calcul R84'!O105</f>
        <v>2.5099999999999998</v>
      </c>
      <c r="O90" s="253">
        <f>'Calcul R84'!P105</f>
        <v>2.71</v>
      </c>
      <c r="P90" s="253">
        <f>'Calcul R84'!Q105</f>
        <v>0</v>
      </c>
      <c r="Q90" s="253">
        <f>'Calcul R84'!R105</f>
        <v>0</v>
      </c>
      <c r="R90" s="253">
        <f>'Calcul R84'!S105</f>
        <v>0</v>
      </c>
      <c r="S90" s="253">
        <f>'Calcul R84'!T105</f>
        <v>0</v>
      </c>
      <c r="T90" s="253">
        <f>'Calcul R84'!U105</f>
        <v>0</v>
      </c>
      <c r="U90" s="253">
        <f>'Calcul R84'!V105</f>
        <v>0</v>
      </c>
      <c r="V90" s="253">
        <f>'Calcul R84'!W105</f>
        <v>2.75</v>
      </c>
      <c r="W90" s="253">
        <f>'Calcul R84'!X105</f>
        <v>2.75</v>
      </c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</row>
    <row r="91" spans="1:67" x14ac:dyDescent="0.3">
      <c r="A91" s="433" t="s">
        <v>463</v>
      </c>
      <c r="B91" s="58">
        <f t="shared" ref="B91:W91" si="5">B90*B89</f>
        <v>14746</v>
      </c>
      <c r="C91" s="53">
        <f t="shared" si="5"/>
        <v>17368.560000000001</v>
      </c>
      <c r="D91" s="53">
        <f t="shared" si="5"/>
        <v>13281.69</v>
      </c>
      <c r="E91" s="53">
        <f t="shared" si="5"/>
        <v>13439.8</v>
      </c>
      <c r="F91" s="53">
        <f t="shared" si="5"/>
        <v>24171.25</v>
      </c>
      <c r="G91" s="53">
        <f t="shared" si="5"/>
        <v>35759.43</v>
      </c>
      <c r="H91" s="53">
        <f t="shared" si="5"/>
        <v>44799</v>
      </c>
      <c r="I91" s="53">
        <f t="shared" si="5"/>
        <v>55277.100000000006</v>
      </c>
      <c r="J91" s="53">
        <f t="shared" si="5"/>
        <v>48613.45</v>
      </c>
      <c r="K91" s="53">
        <f t="shared" si="5"/>
        <v>42382.450000000004</v>
      </c>
      <c r="L91" s="53">
        <f t="shared" si="5"/>
        <v>36373.81</v>
      </c>
      <c r="M91" s="53">
        <f t="shared" si="5"/>
        <v>37673.599999999999</v>
      </c>
      <c r="N91" s="53">
        <f t="shared" si="5"/>
        <v>44873.78</v>
      </c>
      <c r="O91" s="53">
        <f t="shared" si="5"/>
        <v>47289.5</v>
      </c>
      <c r="P91" s="53">
        <f t="shared" si="5"/>
        <v>0</v>
      </c>
      <c r="Q91" s="53">
        <f t="shared" si="5"/>
        <v>0</v>
      </c>
      <c r="R91" s="53">
        <f t="shared" si="5"/>
        <v>0</v>
      </c>
      <c r="S91" s="53">
        <f t="shared" si="5"/>
        <v>0</v>
      </c>
      <c r="T91" s="53">
        <f t="shared" si="5"/>
        <v>0</v>
      </c>
      <c r="U91" s="53">
        <f t="shared" si="5"/>
        <v>0</v>
      </c>
      <c r="V91" s="53">
        <f t="shared" si="5"/>
        <v>43706.666666666672</v>
      </c>
      <c r="W91" s="53">
        <f t="shared" si="5"/>
        <v>43706.666666666672</v>
      </c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</row>
    <row r="92" spans="1:67" x14ac:dyDescent="0.3">
      <c r="A92" s="481" t="s">
        <v>422</v>
      </c>
      <c r="B92" s="489">
        <f>B91/('Calcul Fr métro'!C141*'Calcul Fr métro'!C143)</f>
        <v>0.10742226200716597</v>
      </c>
      <c r="C92" s="490">
        <f>C91/('Calcul Fr métro'!D141*'Calcul Fr métro'!D143)</f>
        <v>0.1391481408843922</v>
      </c>
      <c r="D92" s="490">
        <f>D91/('Calcul Fr métro'!E141*'Calcul Fr métro'!E143)</f>
        <v>0.1256771318677409</v>
      </c>
      <c r="E92" s="490">
        <f>E91/('Calcul Fr métro'!F141*'Calcul Fr métro'!F143)</f>
        <v>0.11947476546950103</v>
      </c>
      <c r="F92" s="490">
        <f>F91/('Calcul Fr métro'!G141*'Calcul Fr métro'!G143)</f>
        <v>0.10510975726424365</v>
      </c>
      <c r="G92" s="490">
        <f>G91/('Calcul Fr métro'!H141*'Calcul Fr métro'!H143)</f>
        <v>0.10508129648878298</v>
      </c>
      <c r="H92" s="490">
        <f>H91/('Calcul Fr métro'!I141*'Calcul Fr métro'!I143)</f>
        <v>0.13232037462624566</v>
      </c>
      <c r="I92" s="490">
        <f>I91/('Calcul Fr métro'!J141*'Calcul Fr métro'!J143)</f>
        <v>0.13301866640010201</v>
      </c>
      <c r="J92" s="490">
        <f>J91/('Calcul Fr métro'!K141*'Calcul Fr métro'!K143)</f>
        <v>0.12199743790937984</v>
      </c>
      <c r="K92" s="490">
        <f>K91/('Calcul Fr métro'!L141*'Calcul Fr métro'!L143)</f>
        <v>9.8757677860731308E-2</v>
      </c>
      <c r="L92" s="490">
        <f>L91/('Calcul Fr métro'!M141*'Calcul Fr métro'!M143)</f>
        <v>8.9604445570397567E-2</v>
      </c>
      <c r="M92" s="490">
        <f>M91/('Calcul Fr métro'!N141*'Calcul Fr métro'!N143)</f>
        <v>8.5624017162258939E-2</v>
      </c>
      <c r="N92" s="490">
        <f>N91/('Calcul Fr métro'!O141*'Calcul Fr métro'!O143)</f>
        <v>0.11960975161436906</v>
      </c>
      <c r="O92" s="490">
        <f>O91/('Calcul Fr métro'!P141*'Calcul Fr métro'!P143)</f>
        <v>0.12260211679498241</v>
      </c>
      <c r="P92" s="490"/>
      <c r="Q92" s="490"/>
      <c r="R92" s="490"/>
      <c r="S92" s="490"/>
      <c r="T92" s="490"/>
      <c r="U92" s="490"/>
      <c r="V92" s="490">
        <f>V91/('Calcul Fr métro'!W141*'Calcul Fr métro'!W143)</f>
        <v>0.10897642322011915</v>
      </c>
      <c r="W92" s="49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</row>
    <row r="93" spans="1:67" x14ac:dyDescent="0.3">
      <c r="A93" s="487" t="s">
        <v>481</v>
      </c>
      <c r="B93" s="233">
        <f>'Calcul R84'!C111</f>
        <v>11093</v>
      </c>
      <c r="C93" s="247">
        <f>'Calcul R84'!D111</f>
        <v>9605</v>
      </c>
      <c r="D93" s="247">
        <f>'Calcul R84'!E111</f>
        <v>6979</v>
      </c>
      <c r="E93" s="247">
        <f>'Calcul R84'!F111</f>
        <v>6408</v>
      </c>
      <c r="F93" s="247">
        <f>'Calcul R84'!G111</f>
        <v>8118</v>
      </c>
      <c r="G93" s="247">
        <f>'Calcul R84'!H111</f>
        <v>9633</v>
      </c>
      <c r="H93" s="247">
        <f>'Calcul R84'!I111</f>
        <v>10559</v>
      </c>
      <c r="I93" s="247">
        <f>'Calcul R84'!J111</f>
        <v>11289</v>
      </c>
      <c r="J93" s="247">
        <f>'Calcul R84'!K111</f>
        <v>10564</v>
      </c>
      <c r="K93" s="247">
        <f>'Calcul R84'!L111</f>
        <v>11066</v>
      </c>
      <c r="L93" s="247">
        <f>'Calcul R84'!M111</f>
        <v>11633</v>
      </c>
      <c r="M93" s="247">
        <f>'Calcul R84'!N111</f>
        <v>10089</v>
      </c>
      <c r="N93" s="247">
        <f>'Calcul R84'!O111</f>
        <v>8815</v>
      </c>
      <c r="O93" s="247">
        <f>'Calcul R84'!P111</f>
        <v>8726</v>
      </c>
      <c r="P93" s="247">
        <f>'Calcul R84'!Q111</f>
        <v>0</v>
      </c>
      <c r="Q93" s="247">
        <f>'Calcul R84'!R111</f>
        <v>0</v>
      </c>
      <c r="R93" s="247">
        <f>'Calcul R84'!S111</f>
        <v>0</v>
      </c>
      <c r="S93" s="247">
        <f>'Calcul R84'!T111</f>
        <v>0</v>
      </c>
      <c r="T93" s="247">
        <f>'Calcul R84'!U111</f>
        <v>0</v>
      </c>
      <c r="U93" s="247">
        <f>'Calcul R84'!V111</f>
        <v>0</v>
      </c>
      <c r="V93" s="247">
        <f>'Calcul R84'!W111</f>
        <v>9210</v>
      </c>
      <c r="W93" s="247">
        <f>'Calcul R84'!X111</f>
        <v>9210</v>
      </c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</row>
    <row r="94" spans="1:67" x14ac:dyDescent="0.3">
      <c r="A94" s="488" t="s">
        <v>482</v>
      </c>
      <c r="B94" s="440">
        <f>'Calcul R84'!C113</f>
        <v>2.37</v>
      </c>
      <c r="C94" s="253">
        <f>'Calcul R84'!D113</f>
        <v>1.93</v>
      </c>
      <c r="D94" s="253">
        <f>'Calcul R84'!E113</f>
        <v>1.98</v>
      </c>
      <c r="E94" s="253">
        <f>'Calcul R84'!F113</f>
        <v>1.76</v>
      </c>
      <c r="F94" s="253">
        <f>'Calcul R84'!G113</f>
        <v>1.7</v>
      </c>
      <c r="G94" s="253">
        <f>'Calcul R84'!H113</f>
        <v>1.73</v>
      </c>
      <c r="H94" s="253">
        <f>'Calcul R84'!I113</f>
        <v>1.74</v>
      </c>
      <c r="I94" s="253">
        <f>'Calcul R84'!J113</f>
        <v>2.0499999999999998</v>
      </c>
      <c r="J94" s="253">
        <f>'Calcul R84'!K113</f>
        <v>1.74</v>
      </c>
      <c r="K94" s="253">
        <f>'Calcul R84'!L113</f>
        <v>1.66</v>
      </c>
      <c r="L94" s="253">
        <f>'Calcul R84'!M113</f>
        <v>1.42</v>
      </c>
      <c r="M94" s="253">
        <f>'Calcul R84'!N113</f>
        <v>1.47</v>
      </c>
      <c r="N94" s="253">
        <f>'Calcul R84'!O113</f>
        <v>1.35</v>
      </c>
      <c r="O94" s="253">
        <f>'Calcul R84'!P113</f>
        <v>1.55</v>
      </c>
      <c r="P94" s="253">
        <f>'Calcul R84'!Q113</f>
        <v>0</v>
      </c>
      <c r="Q94" s="253">
        <f>'Calcul R84'!R113</f>
        <v>0</v>
      </c>
      <c r="R94" s="253">
        <f>'Calcul R84'!S113</f>
        <v>0</v>
      </c>
      <c r="S94" s="253">
        <f>'Calcul R84'!T113</f>
        <v>0</v>
      </c>
      <c r="T94" s="253">
        <f>'Calcul R84'!U113</f>
        <v>0</v>
      </c>
      <c r="U94" s="253">
        <f>'Calcul R84'!V113</f>
        <v>0</v>
      </c>
      <c r="V94" s="253">
        <f>'Calcul R84'!W113</f>
        <v>1.49</v>
      </c>
      <c r="W94" s="253">
        <f>'Calcul R84'!X113</f>
        <v>1.49</v>
      </c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</row>
    <row r="95" spans="1:67" x14ac:dyDescent="0.3">
      <c r="A95" s="488" t="s">
        <v>483</v>
      </c>
      <c r="B95" s="58">
        <f t="shared" ref="B95:W95" si="6">B94*B93</f>
        <v>26290.41</v>
      </c>
      <c r="C95" s="53">
        <f t="shared" si="6"/>
        <v>18537.649999999998</v>
      </c>
      <c r="D95" s="53">
        <f t="shared" si="6"/>
        <v>13818.42</v>
      </c>
      <c r="E95" s="53">
        <f t="shared" si="6"/>
        <v>11278.08</v>
      </c>
      <c r="F95" s="53">
        <f t="shared" si="6"/>
        <v>13800.6</v>
      </c>
      <c r="G95" s="53">
        <f t="shared" si="6"/>
        <v>16665.09</v>
      </c>
      <c r="H95" s="53">
        <f t="shared" si="6"/>
        <v>18372.66</v>
      </c>
      <c r="I95" s="53">
        <f t="shared" si="6"/>
        <v>23142.449999999997</v>
      </c>
      <c r="J95" s="53">
        <f t="shared" si="6"/>
        <v>18381.36</v>
      </c>
      <c r="K95" s="53">
        <f t="shared" si="6"/>
        <v>18369.559999999998</v>
      </c>
      <c r="L95" s="53">
        <f t="shared" si="6"/>
        <v>16518.86</v>
      </c>
      <c r="M95" s="53">
        <f t="shared" si="6"/>
        <v>14830.83</v>
      </c>
      <c r="N95" s="53">
        <f t="shared" si="6"/>
        <v>11900.25</v>
      </c>
      <c r="O95" s="53">
        <f t="shared" si="6"/>
        <v>13525.300000000001</v>
      </c>
      <c r="P95" s="53">
        <f t="shared" si="6"/>
        <v>0</v>
      </c>
      <c r="Q95" s="53">
        <f t="shared" si="6"/>
        <v>0</v>
      </c>
      <c r="R95" s="53">
        <f t="shared" si="6"/>
        <v>0</v>
      </c>
      <c r="S95" s="53">
        <f t="shared" si="6"/>
        <v>0</v>
      </c>
      <c r="T95" s="53">
        <f t="shared" si="6"/>
        <v>0</v>
      </c>
      <c r="U95" s="53">
        <f t="shared" si="6"/>
        <v>0</v>
      </c>
      <c r="V95" s="53">
        <f t="shared" si="6"/>
        <v>13722.9</v>
      </c>
      <c r="W95" s="53">
        <f t="shared" si="6"/>
        <v>13722.9</v>
      </c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</row>
    <row r="96" spans="1:67" x14ac:dyDescent="0.3">
      <c r="A96" s="494" t="s">
        <v>422</v>
      </c>
      <c r="B96" s="482">
        <f>B95/('Calcul Fr métro'!C148*'Calcul Fr métro'!C150)</f>
        <v>1.6886274736497293E-2</v>
      </c>
      <c r="C96" s="483">
        <f>C95/('Calcul Fr métro'!D148*'Calcul Fr métro'!D150)</f>
        <v>1.7875201296280303E-2</v>
      </c>
      <c r="D96" s="483">
        <f>D95/('Calcul Fr métro'!E148*'Calcul Fr métro'!E150)</f>
        <v>1.6097309694530857E-2</v>
      </c>
      <c r="E96" s="483">
        <f>E95/('Calcul Fr métro'!F148*'Calcul Fr métro'!F150)</f>
        <v>1.4618019776570635E-2</v>
      </c>
      <c r="F96" s="483">
        <f>F95/('Calcul Fr métro'!G148*'Calcul Fr métro'!G150)</f>
        <v>1.6115860619841368E-2</v>
      </c>
      <c r="G96" s="483">
        <f>G95/('Calcul Fr métro'!H148*'Calcul Fr métro'!H150)</f>
        <v>1.7111194936518272E-2</v>
      </c>
      <c r="H96" s="483">
        <f>H95/('Calcul Fr métro'!I148*'Calcul Fr métro'!I150)</f>
        <v>2.2435998886300025E-2</v>
      </c>
      <c r="I96" s="483">
        <f>I95/('Calcul Fr métro'!J148*'Calcul Fr métro'!J150)</f>
        <v>2.1841984160424072E-2</v>
      </c>
      <c r="J96" s="483">
        <f>J95/('Calcul Fr métro'!K148*'Calcul Fr métro'!K150)</f>
        <v>2.1741889754419395E-2</v>
      </c>
      <c r="K96" s="483">
        <f>K95/('Calcul Fr métro'!L148*'Calcul Fr métro'!L150)</f>
        <v>1.8171125854332927E-2</v>
      </c>
      <c r="L96" s="483">
        <f>L95/('Calcul Fr métro'!M148*'Calcul Fr métro'!M150)</f>
        <v>1.786983488539377E-2</v>
      </c>
      <c r="M96" s="483">
        <f>M95/('Calcul Fr métro'!N148*'Calcul Fr métro'!N150)</f>
        <v>1.4839301014984405E-2</v>
      </c>
      <c r="N96" s="483">
        <f>N95/('Calcul Fr métro'!O148*'Calcul Fr métro'!O150)</f>
        <v>1.4942368620539966E-2</v>
      </c>
      <c r="O96" s="483">
        <f>O95/('Calcul Fr métro'!P148*'Calcul Fr métro'!P150)</f>
        <v>1.3782398234913911E-2</v>
      </c>
      <c r="P96" s="483"/>
      <c r="Q96" s="483"/>
      <c r="R96" s="483"/>
      <c r="S96" s="483"/>
      <c r="T96" s="483"/>
      <c r="U96" s="483"/>
      <c r="V96" s="483">
        <f>V95/('Calcul Fr métro'!W148*'Calcul Fr métro'!W150)</f>
        <v>1.4649294424717388E-2</v>
      </c>
      <c r="W96" s="486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</row>
    <row r="97" spans="1:67" x14ac:dyDescent="0.3">
      <c r="A97" s="467" t="s">
        <v>484</v>
      </c>
      <c r="B97" s="233">
        <f>'Calcul R84'!C118</f>
        <v>123</v>
      </c>
      <c r="C97" s="247">
        <f>'Calcul R84'!D118</f>
        <v>129</v>
      </c>
      <c r="D97" s="247">
        <f>'Calcul R84'!E118</f>
        <v>134</v>
      </c>
      <c r="E97" s="247">
        <f>'Calcul R84'!F118</f>
        <v>135</v>
      </c>
      <c r="F97" s="247">
        <f>'Calcul R84'!G118</f>
        <v>143</v>
      </c>
      <c r="G97" s="247">
        <f>'Calcul R84'!H118</f>
        <v>154</v>
      </c>
      <c r="H97" s="247">
        <f>'Calcul R84'!I118</f>
        <v>158</v>
      </c>
      <c r="I97" s="247">
        <f>'Calcul R84'!J118</f>
        <v>169</v>
      </c>
      <c r="J97" s="247">
        <f>'Calcul R84'!K118</f>
        <v>178</v>
      </c>
      <c r="K97" s="247">
        <f>'Calcul R84'!L118</f>
        <v>182</v>
      </c>
      <c r="L97" s="247">
        <f>'Calcul R84'!M118</f>
        <v>202</v>
      </c>
      <c r="M97" s="247">
        <f>'Calcul R84'!N118</f>
        <v>183</v>
      </c>
      <c r="N97" s="247">
        <f>'Calcul R84'!O118</f>
        <v>184</v>
      </c>
      <c r="O97" s="247">
        <f>'Calcul R84'!P118</f>
        <v>174</v>
      </c>
      <c r="P97" s="247">
        <f>'Calcul R84'!Q118</f>
        <v>0</v>
      </c>
      <c r="Q97" s="247">
        <f>'Calcul R84'!R118</f>
        <v>0</v>
      </c>
      <c r="R97" s="247">
        <f>'Calcul R84'!S118</f>
        <v>0</v>
      </c>
      <c r="S97" s="247">
        <f>'Calcul R84'!T118</f>
        <v>0</v>
      </c>
      <c r="T97" s="247">
        <f>'Calcul R84'!U118</f>
        <v>0</v>
      </c>
      <c r="U97" s="247">
        <f>'Calcul R84'!V118</f>
        <v>0</v>
      </c>
      <c r="V97" s="247">
        <f>'Calcul R84'!W118</f>
        <v>180.33333333333334</v>
      </c>
      <c r="W97" s="247">
        <f>'Calcul R84'!X118</f>
        <v>180.33333333333334</v>
      </c>
      <c r="X97" s="183"/>
      <c r="Y97" s="183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</row>
    <row r="98" spans="1:67" x14ac:dyDescent="0.3">
      <c r="A98" s="468" t="s">
        <v>485</v>
      </c>
      <c r="B98" s="440">
        <f>'Calcul R84'!C120</f>
        <v>15.6</v>
      </c>
      <c r="C98" s="253">
        <f>'Calcul R84'!D120</f>
        <v>16.399999999999999</v>
      </c>
      <c r="D98" s="253">
        <f>'Calcul R84'!E120</f>
        <v>15.5</v>
      </c>
      <c r="E98" s="253">
        <f>'Calcul R84'!F120</f>
        <v>17.100000000000001</v>
      </c>
      <c r="F98" s="253">
        <f>'Calcul R84'!G120</f>
        <v>15.5</v>
      </c>
      <c r="G98" s="253">
        <f>'Calcul R84'!H120</f>
        <v>14.8</v>
      </c>
      <c r="H98" s="253">
        <f>'Calcul R84'!I120</f>
        <v>15.4</v>
      </c>
      <c r="I98" s="253">
        <f>'Calcul R84'!J120</f>
        <v>14.2</v>
      </c>
      <c r="J98" s="253">
        <f>'Calcul R84'!K120</f>
        <v>14.1</v>
      </c>
      <c r="K98" s="253">
        <f>'Calcul R84'!L120</f>
        <v>13.7</v>
      </c>
      <c r="L98" s="253">
        <f>'Calcul R84'!M120</f>
        <v>13.2</v>
      </c>
      <c r="M98" s="253">
        <f>'Calcul R84'!N120</f>
        <v>15.1</v>
      </c>
      <c r="N98" s="253">
        <f>'Calcul R84'!O120</f>
        <v>14.2</v>
      </c>
      <c r="O98" s="253">
        <f>'Calcul R84'!P120</f>
        <v>12.7</v>
      </c>
      <c r="P98" s="253">
        <f>'Calcul R84'!Q120</f>
        <v>0</v>
      </c>
      <c r="Q98" s="253">
        <f>'Calcul R84'!R120</f>
        <v>0</v>
      </c>
      <c r="R98" s="253">
        <f>'Calcul R84'!S120</f>
        <v>0</v>
      </c>
      <c r="S98" s="253">
        <f>'Calcul R84'!T120</f>
        <v>0</v>
      </c>
      <c r="T98" s="253">
        <f>'Calcul R84'!U120</f>
        <v>0</v>
      </c>
      <c r="U98" s="253">
        <f>'Calcul R84'!V120</f>
        <v>0</v>
      </c>
      <c r="V98" s="253">
        <f>'Calcul R84'!W120</f>
        <v>13.5</v>
      </c>
      <c r="W98" s="253">
        <f>'Calcul R84'!X120</f>
        <v>13.5</v>
      </c>
      <c r="X98" s="183"/>
      <c r="Y98" s="183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</row>
    <row r="99" spans="1:67" x14ac:dyDescent="0.3">
      <c r="A99" s="468" t="s">
        <v>486</v>
      </c>
      <c r="B99" s="58">
        <f t="shared" ref="B99" si="7">B98*B97</f>
        <v>1918.8</v>
      </c>
      <c r="C99" s="53">
        <f t="shared" ref="C99:W99" si="8">C98*C97</f>
        <v>2115.6</v>
      </c>
      <c r="D99" s="53">
        <f t="shared" si="8"/>
        <v>2077</v>
      </c>
      <c r="E99" s="53">
        <f t="shared" si="8"/>
        <v>2308.5</v>
      </c>
      <c r="F99" s="53">
        <f t="shared" si="8"/>
        <v>2216.5</v>
      </c>
      <c r="G99" s="53">
        <f t="shared" si="8"/>
        <v>2279.2000000000003</v>
      </c>
      <c r="H99" s="53">
        <f t="shared" si="8"/>
        <v>2433.2000000000003</v>
      </c>
      <c r="I99" s="53">
        <f t="shared" si="8"/>
        <v>2399.7999999999997</v>
      </c>
      <c r="J99" s="53">
        <f t="shared" si="8"/>
        <v>2509.7999999999997</v>
      </c>
      <c r="K99" s="53">
        <f t="shared" si="8"/>
        <v>2493.4</v>
      </c>
      <c r="L99" s="53">
        <f t="shared" si="8"/>
        <v>2666.3999999999996</v>
      </c>
      <c r="M99" s="53">
        <f t="shared" si="8"/>
        <v>2763.2999999999997</v>
      </c>
      <c r="N99" s="53">
        <f t="shared" si="8"/>
        <v>2612.7999999999997</v>
      </c>
      <c r="O99" s="53">
        <f t="shared" si="8"/>
        <v>2209.7999999999997</v>
      </c>
      <c r="P99" s="53">
        <f t="shared" si="8"/>
        <v>0</v>
      </c>
      <c r="Q99" s="53">
        <f t="shared" si="8"/>
        <v>0</v>
      </c>
      <c r="R99" s="53">
        <f t="shared" si="8"/>
        <v>0</v>
      </c>
      <c r="S99" s="53">
        <f t="shared" si="8"/>
        <v>0</v>
      </c>
      <c r="T99" s="53">
        <f t="shared" si="8"/>
        <v>0</v>
      </c>
      <c r="U99" s="53">
        <f t="shared" si="8"/>
        <v>0</v>
      </c>
      <c r="V99" s="53">
        <f t="shared" si="8"/>
        <v>2434.5</v>
      </c>
      <c r="W99" s="53">
        <f t="shared" si="8"/>
        <v>2434.5</v>
      </c>
      <c r="X99" s="182"/>
      <c r="Y99" s="182"/>
    </row>
    <row r="100" spans="1:67" x14ac:dyDescent="0.3">
      <c r="A100" s="495" t="s">
        <v>422</v>
      </c>
      <c r="B100" s="482">
        <f>B99/('Calcul Fr métro'!C155*'Calcul Fr métro'!C157)</f>
        <v>5.1007021839075874E-3</v>
      </c>
      <c r="C100" s="483">
        <f>C99/('Calcul Fr métro'!D155*'Calcul Fr métro'!D157)</f>
        <v>5.5367125180579117E-3</v>
      </c>
      <c r="D100" s="483">
        <f>D99/('Calcul Fr métro'!E155*'Calcul Fr métro'!E157)</f>
        <v>5.8619161720586703E-3</v>
      </c>
      <c r="E100" s="483">
        <f>E99/('Calcul Fr métro'!F155*'Calcul Fr métro'!F157)</f>
        <v>6.4571403637144796E-3</v>
      </c>
      <c r="F100" s="483">
        <f>F99/('Calcul Fr métro'!G155*'Calcul Fr métro'!G157)</f>
        <v>6.8715748694741794E-3</v>
      </c>
      <c r="G100" s="483">
        <f>G99/('Calcul Fr métro'!H155*'Calcul Fr métro'!H157)</f>
        <v>7.4599557613364027E-3</v>
      </c>
      <c r="H100" s="483">
        <f>H99/('Calcul Fr métro'!I155*'Calcul Fr métro'!I157)</f>
        <v>7.897743501856614E-3</v>
      </c>
      <c r="I100" s="483">
        <f>I99/('Calcul Fr métro'!J155*'Calcul Fr métro'!J157)</f>
        <v>8.3121183467204218E-3</v>
      </c>
      <c r="J100" s="483">
        <f>J99/('Calcul Fr métro'!K155*'Calcul Fr métro'!K157)</f>
        <v>8.9208215771705447E-3</v>
      </c>
      <c r="K100" s="483">
        <f>K99/('Calcul Fr métro'!L155*'Calcul Fr métro'!L157)</f>
        <v>9.8921833739589685E-3</v>
      </c>
      <c r="L100" s="483">
        <f>L99/('Calcul Fr métro'!M155*'Calcul Fr métro'!M157)</f>
        <v>1.0599156010799499E-2</v>
      </c>
      <c r="M100" s="483">
        <f>M99/('Calcul Fr métro'!N155*'Calcul Fr métro'!N157)</f>
        <v>1.0450803164627093E-2</v>
      </c>
      <c r="N100" s="483">
        <f>N99/('Calcul Fr métro'!O155*'Calcul Fr métro'!O157)</f>
        <v>1.042877812702689E-2</v>
      </c>
      <c r="O100" s="483">
        <f>O99/('Calcul Fr métro'!P155*'Calcul Fr métro'!P157)</f>
        <v>1.0689118749927441E-2</v>
      </c>
      <c r="P100" s="483"/>
      <c r="Q100" s="483"/>
      <c r="R100" s="483"/>
      <c r="S100" s="483"/>
      <c r="T100" s="483"/>
      <c r="U100" s="483"/>
      <c r="V100" s="483">
        <f>V99/('Calcul Fr métro'!W155*'Calcul Fr métro'!W157)</f>
        <v>1.0336917118744323E-2</v>
      </c>
      <c r="W100" s="486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</row>
    <row r="101" spans="1:67" x14ac:dyDescent="0.3">
      <c r="A101" s="467" t="s">
        <v>487</v>
      </c>
      <c r="B101" s="233">
        <f>'Calcul R84'!C125</f>
        <v>2282</v>
      </c>
      <c r="C101" s="247">
        <f>'Calcul R84'!D125</f>
        <v>2451</v>
      </c>
      <c r="D101" s="247">
        <f>'Calcul R84'!E125</f>
        <v>2515</v>
      </c>
      <c r="E101" s="247">
        <f>'Calcul R84'!F125</f>
        <v>2693</v>
      </c>
      <c r="F101" s="247">
        <f>'Calcul R84'!G125</f>
        <v>2967</v>
      </c>
      <c r="G101" s="247">
        <f>'Calcul R84'!H125</f>
        <v>2950</v>
      </c>
      <c r="H101" s="247">
        <f>'Calcul R84'!I125</f>
        <v>3036</v>
      </c>
      <c r="I101" s="247">
        <f>'Calcul R84'!J125</f>
        <v>3086</v>
      </c>
      <c r="J101" s="247">
        <f>'Calcul R84'!K125</f>
        <v>3135</v>
      </c>
      <c r="K101" s="247">
        <f>'Calcul R84'!L125</f>
        <v>3270</v>
      </c>
      <c r="L101" s="247">
        <f>'Calcul R84'!M125</f>
        <v>3169</v>
      </c>
      <c r="M101" s="247">
        <f>'Calcul R84'!N125</f>
        <v>3173</v>
      </c>
      <c r="N101" s="247">
        <f>'Calcul R84'!O125</f>
        <v>3173</v>
      </c>
      <c r="O101" s="247">
        <f>'Calcul R84'!P125</f>
        <v>3334</v>
      </c>
      <c r="P101" s="247">
        <f>'Calcul R84'!Q125</f>
        <v>0</v>
      </c>
      <c r="Q101" s="247">
        <f>'Calcul R84'!R125</f>
        <v>0</v>
      </c>
      <c r="R101" s="247">
        <f>'Calcul R84'!S125</f>
        <v>0</v>
      </c>
      <c r="S101" s="247">
        <f>'Calcul R84'!T125</f>
        <v>0</v>
      </c>
      <c r="T101" s="247">
        <f>'Calcul R84'!U125</f>
        <v>0</v>
      </c>
      <c r="U101" s="247">
        <f>'Calcul R84'!V125</f>
        <v>0</v>
      </c>
      <c r="V101" s="247">
        <f>'Calcul R84'!W125</f>
        <v>3226.6666666666665</v>
      </c>
      <c r="W101" s="247">
        <f>'Calcul R84'!X125</f>
        <v>3226.6666666666665</v>
      </c>
    </row>
    <row r="102" spans="1:67" x14ac:dyDescent="0.3">
      <c r="A102" s="468" t="s">
        <v>488</v>
      </c>
      <c r="B102" s="440">
        <f>'Calcul R84'!C127</f>
        <v>26.3</v>
      </c>
      <c r="C102" s="253">
        <f>'Calcul R84'!D127</f>
        <v>29.8</v>
      </c>
      <c r="D102" s="253">
        <f>'Calcul R84'!E127</f>
        <v>28.4</v>
      </c>
      <c r="E102" s="253">
        <f>'Calcul R84'!F127</f>
        <v>28.2</v>
      </c>
      <c r="F102" s="253">
        <f>'Calcul R84'!G127</f>
        <v>30.2</v>
      </c>
      <c r="G102" s="253">
        <f>'Calcul R84'!H127</f>
        <v>28.8</v>
      </c>
      <c r="H102" s="253">
        <f>'Calcul R84'!I127</f>
        <v>32.4</v>
      </c>
      <c r="I102" s="253">
        <f>'Calcul R84'!J127</f>
        <v>32.6</v>
      </c>
      <c r="J102" s="253">
        <f>'Calcul R84'!K127</f>
        <v>34.4</v>
      </c>
      <c r="K102" s="253">
        <f>'Calcul R84'!L127</f>
        <v>34.9</v>
      </c>
      <c r="L102" s="253">
        <f>'Calcul R84'!M127</f>
        <v>39.299999999999997</v>
      </c>
      <c r="M102" s="253">
        <f>'Calcul R84'!N127</f>
        <v>36</v>
      </c>
      <c r="N102" s="253">
        <f>'Calcul R84'!O127</f>
        <v>30.1</v>
      </c>
      <c r="O102" s="253">
        <f>'Calcul R84'!P127</f>
        <v>33.1</v>
      </c>
      <c r="P102" s="253">
        <f>'Calcul R84'!Q127</f>
        <v>0</v>
      </c>
      <c r="Q102" s="253">
        <f>'Calcul R84'!R127</f>
        <v>0</v>
      </c>
      <c r="R102" s="253">
        <f>'Calcul R84'!S127</f>
        <v>0</v>
      </c>
      <c r="S102" s="253">
        <f>'Calcul R84'!T127</f>
        <v>0</v>
      </c>
      <c r="T102" s="253">
        <f>'Calcul R84'!U127</f>
        <v>0</v>
      </c>
      <c r="U102" s="253">
        <f>'Calcul R84'!V127</f>
        <v>0</v>
      </c>
      <c r="V102" s="253">
        <f>'Calcul R84'!W127</f>
        <v>34.700000000000003</v>
      </c>
      <c r="W102" s="253">
        <f>'Calcul R84'!X127</f>
        <v>34.700000000000003</v>
      </c>
    </row>
    <row r="103" spans="1:67" x14ac:dyDescent="0.3">
      <c r="A103" s="468" t="s">
        <v>489</v>
      </c>
      <c r="B103" s="58">
        <f t="shared" ref="B103" si="9">B102*B101</f>
        <v>60016.6</v>
      </c>
      <c r="C103" s="53">
        <f t="shared" ref="C103:W103" si="10">C102*C101</f>
        <v>73039.8</v>
      </c>
      <c r="D103" s="53">
        <f t="shared" si="10"/>
        <v>71426</v>
      </c>
      <c r="E103" s="53">
        <f t="shared" si="10"/>
        <v>75942.599999999991</v>
      </c>
      <c r="F103" s="53">
        <f t="shared" si="10"/>
        <v>89603.4</v>
      </c>
      <c r="G103" s="53">
        <f t="shared" si="10"/>
        <v>84960</v>
      </c>
      <c r="H103" s="53">
        <f t="shared" si="10"/>
        <v>98366.399999999994</v>
      </c>
      <c r="I103" s="53">
        <f t="shared" si="10"/>
        <v>100603.6</v>
      </c>
      <c r="J103" s="53">
        <f t="shared" si="10"/>
        <v>107844</v>
      </c>
      <c r="K103" s="53">
        <f t="shared" si="10"/>
        <v>114123</v>
      </c>
      <c r="L103" s="53">
        <f t="shared" si="10"/>
        <v>124541.7</v>
      </c>
      <c r="M103" s="53">
        <f t="shared" si="10"/>
        <v>114228</v>
      </c>
      <c r="N103" s="53">
        <f t="shared" si="10"/>
        <v>95507.3</v>
      </c>
      <c r="O103" s="53">
        <f t="shared" si="10"/>
        <v>110355.40000000001</v>
      </c>
      <c r="P103" s="53">
        <f t="shared" si="10"/>
        <v>0</v>
      </c>
      <c r="Q103" s="53">
        <f t="shared" si="10"/>
        <v>0</v>
      </c>
      <c r="R103" s="53">
        <f t="shared" si="10"/>
        <v>0</v>
      </c>
      <c r="S103" s="53">
        <f t="shared" si="10"/>
        <v>0</v>
      </c>
      <c r="T103" s="53">
        <f t="shared" si="10"/>
        <v>0</v>
      </c>
      <c r="U103" s="53">
        <f t="shared" si="10"/>
        <v>0</v>
      </c>
      <c r="V103" s="53">
        <f t="shared" si="10"/>
        <v>111965.33333333334</v>
      </c>
      <c r="W103" s="53">
        <f t="shared" si="10"/>
        <v>111965.33333333334</v>
      </c>
    </row>
    <row r="104" spans="1:67" x14ac:dyDescent="0.3">
      <c r="A104" s="495" t="s">
        <v>422</v>
      </c>
      <c r="B104" s="482">
        <f>B103/('Calcul Fr métro'!C162*'Calcul Fr métro'!C164)</f>
        <v>1.1964217825449796E-2</v>
      </c>
      <c r="C104" s="483">
        <f>C103/('Calcul Fr métro'!D162*'Calcul Fr métro'!D164)</f>
        <v>1.2758353657116805E-2</v>
      </c>
      <c r="D104" s="483">
        <f>D103/('Calcul Fr métro'!E162*'Calcul Fr métro'!E164)</f>
        <v>1.5148144981061956E-2</v>
      </c>
      <c r="E104" s="483">
        <f>E103/('Calcul Fr métro'!F162*'Calcul Fr métro'!F164)</f>
        <v>1.4271917515125101E-2</v>
      </c>
      <c r="F104" s="483">
        <f>F103/('Calcul Fr métro'!G162*'Calcul Fr métro'!G164)</f>
        <v>1.4003508964898489E-2</v>
      </c>
      <c r="G104" s="483">
        <f>G103/('Calcul Fr métro'!H162*'Calcul Fr métro'!H164)</f>
        <v>1.5346127794084443E-2</v>
      </c>
      <c r="H104" s="483">
        <f>H103/('Calcul Fr métro'!I162*'Calcul Fr métro'!I164)</f>
        <v>1.8165940051718222E-2</v>
      </c>
      <c r="I104" s="483">
        <f>I103/('Calcul Fr métro'!J162*'Calcul Fr métro'!J164)</f>
        <v>1.4774470346848681E-2</v>
      </c>
      <c r="J104" s="483">
        <f>J103/('Calcul Fr métro'!K162*'Calcul Fr métro'!K164)</f>
        <v>1.7020772890247785E-2</v>
      </c>
      <c r="K104" s="483">
        <f>K103/('Calcul Fr métro'!L162*'Calcul Fr métro'!L164)</f>
        <v>1.6446292097751412E-2</v>
      </c>
      <c r="L104" s="483">
        <f>L103/('Calcul Fr métro'!M162*'Calcul Fr métro'!M164)</f>
        <v>1.7487253322729355E-2</v>
      </c>
      <c r="M104" s="483">
        <f>M103/('Calcul Fr métro'!N162*'Calcul Fr métro'!N164)</f>
        <v>1.6242823874966034E-2</v>
      </c>
      <c r="N104" s="483">
        <f>N103/('Calcul Fr métro'!O162*'Calcul Fr métro'!O164)</f>
        <v>1.4787872493132371E-2</v>
      </c>
      <c r="O104" s="483">
        <f>O103/('Calcul Fr métro'!P162*'Calcul Fr métro'!P164)</f>
        <v>1.5420788049648736E-2</v>
      </c>
      <c r="P104" s="483"/>
      <c r="Q104" s="483"/>
      <c r="R104" s="483"/>
      <c r="S104" s="483"/>
      <c r="T104" s="483"/>
      <c r="U104" s="483"/>
      <c r="V104" s="483">
        <f>V103/('Calcul Fr métro'!W162*'Calcul Fr métro'!W164)</f>
        <v>1.6188702989663673E-2</v>
      </c>
      <c r="W104" s="486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</row>
    <row r="105" spans="1:67" x14ac:dyDescent="0.3">
      <c r="A105" s="467" t="s">
        <v>490</v>
      </c>
      <c r="B105" s="233">
        <f>'Calcul R84'!C132</f>
        <v>274</v>
      </c>
      <c r="C105" s="247">
        <f>'Calcul R84'!D132</f>
        <v>304</v>
      </c>
      <c r="D105" s="247">
        <f>'Calcul R84'!E132</f>
        <v>319</v>
      </c>
      <c r="E105" s="247">
        <f>'Calcul R84'!F132</f>
        <v>331</v>
      </c>
      <c r="F105" s="247">
        <f>'Calcul R84'!G132</f>
        <v>347</v>
      </c>
      <c r="G105" s="247">
        <f>'Calcul R84'!H132</f>
        <v>337</v>
      </c>
      <c r="H105" s="247">
        <f>'Calcul R84'!I132</f>
        <v>349</v>
      </c>
      <c r="I105" s="247">
        <f>'Calcul R84'!J132</f>
        <v>367</v>
      </c>
      <c r="J105" s="247">
        <f>'Calcul R84'!K132</f>
        <v>377</v>
      </c>
      <c r="K105" s="247">
        <f>'Calcul R84'!L132</f>
        <v>381</v>
      </c>
      <c r="L105" s="247">
        <f>'Calcul R84'!M132</f>
        <v>393</v>
      </c>
      <c r="M105" s="247">
        <f>'Calcul R84'!N132</f>
        <v>394</v>
      </c>
      <c r="N105" s="247">
        <f>'Calcul R84'!O132</f>
        <v>394</v>
      </c>
      <c r="O105" s="247">
        <f>'Calcul R84'!P132</f>
        <v>394</v>
      </c>
      <c r="P105" s="247">
        <f>'Calcul R84'!Q132</f>
        <v>0</v>
      </c>
      <c r="Q105" s="247">
        <f>'Calcul R84'!R132</f>
        <v>0</v>
      </c>
      <c r="R105" s="247">
        <f>'Calcul R84'!S132</f>
        <v>0</v>
      </c>
      <c r="S105" s="247">
        <f>'Calcul R84'!T132</f>
        <v>0</v>
      </c>
      <c r="T105" s="247">
        <f>'Calcul R84'!U132</f>
        <v>0</v>
      </c>
      <c r="U105" s="247">
        <f>'Calcul R84'!V132</f>
        <v>0</v>
      </c>
      <c r="V105" s="247">
        <f>'Calcul R84'!W132</f>
        <v>394</v>
      </c>
      <c r="W105" s="247">
        <f>'Calcul R84'!X132</f>
        <v>394</v>
      </c>
    </row>
    <row r="106" spans="1:67" x14ac:dyDescent="0.3">
      <c r="A106" s="468" t="s">
        <v>491</v>
      </c>
      <c r="B106" s="440">
        <f>'Calcul R84'!C134</f>
        <v>37.299999999999997</v>
      </c>
      <c r="C106" s="253">
        <f>'Calcul R84'!D134</f>
        <v>42.1</v>
      </c>
      <c r="D106" s="253">
        <f>'Calcul R84'!E134</f>
        <v>42.1</v>
      </c>
      <c r="E106" s="253">
        <f>'Calcul R84'!F134</f>
        <v>38</v>
      </c>
      <c r="F106" s="253">
        <f>'Calcul R84'!G134</f>
        <v>46.7</v>
      </c>
      <c r="G106" s="253">
        <f>'Calcul R84'!H134</f>
        <v>39.9</v>
      </c>
      <c r="H106" s="253">
        <f>'Calcul R84'!I134</f>
        <v>35.5</v>
      </c>
      <c r="I106" s="253">
        <f>'Calcul R84'!J134</f>
        <v>30.7</v>
      </c>
      <c r="J106" s="253">
        <f>'Calcul R84'!K134</f>
        <v>36.799999999999997</v>
      </c>
      <c r="K106" s="253">
        <f>'Calcul R84'!L134</f>
        <v>36.9</v>
      </c>
      <c r="L106" s="253">
        <f>'Calcul R84'!M134</f>
        <v>35</v>
      </c>
      <c r="M106" s="253">
        <f>'Calcul R84'!N134</f>
        <v>39.700000000000003</v>
      </c>
      <c r="N106" s="253">
        <f>'Calcul R84'!O134</f>
        <v>29.9</v>
      </c>
      <c r="O106" s="253">
        <f>'Calcul R84'!P134</f>
        <v>28</v>
      </c>
      <c r="P106" s="253">
        <f>'Calcul R84'!Q134</f>
        <v>0</v>
      </c>
      <c r="Q106" s="253">
        <f>'Calcul R84'!R134</f>
        <v>0</v>
      </c>
      <c r="R106" s="253">
        <f>'Calcul R84'!S134</f>
        <v>0</v>
      </c>
      <c r="S106" s="253">
        <f>'Calcul R84'!T134</f>
        <v>0</v>
      </c>
      <c r="T106" s="253">
        <f>'Calcul R84'!U134</f>
        <v>0</v>
      </c>
      <c r="U106" s="253">
        <f>'Calcul R84'!V134</f>
        <v>0</v>
      </c>
      <c r="V106" s="253">
        <f>'Calcul R84'!W134</f>
        <v>33.200000000000003</v>
      </c>
      <c r="W106" s="253">
        <f>'Calcul R84'!X134</f>
        <v>33.200000000000003</v>
      </c>
    </row>
    <row r="107" spans="1:67" x14ac:dyDescent="0.3">
      <c r="A107" s="468" t="s">
        <v>492</v>
      </c>
      <c r="B107" s="58">
        <f t="shared" ref="B107" si="11">B106*B105</f>
        <v>10220.199999999999</v>
      </c>
      <c r="C107" s="53">
        <f t="shared" ref="C107:W107" si="12">C106*C105</f>
        <v>12798.4</v>
      </c>
      <c r="D107" s="53">
        <f t="shared" si="12"/>
        <v>13429.9</v>
      </c>
      <c r="E107" s="53">
        <f t="shared" si="12"/>
        <v>12578</v>
      </c>
      <c r="F107" s="53">
        <f t="shared" si="12"/>
        <v>16204.900000000001</v>
      </c>
      <c r="G107" s="53">
        <f t="shared" si="12"/>
        <v>13446.3</v>
      </c>
      <c r="H107" s="53">
        <f t="shared" si="12"/>
        <v>12389.5</v>
      </c>
      <c r="I107" s="53">
        <f t="shared" si="12"/>
        <v>11266.9</v>
      </c>
      <c r="J107" s="53">
        <f t="shared" si="12"/>
        <v>13873.599999999999</v>
      </c>
      <c r="K107" s="53">
        <f t="shared" si="12"/>
        <v>14058.9</v>
      </c>
      <c r="L107" s="53">
        <f t="shared" si="12"/>
        <v>13755</v>
      </c>
      <c r="M107" s="53">
        <f t="shared" si="12"/>
        <v>15641.800000000001</v>
      </c>
      <c r="N107" s="53">
        <f t="shared" si="12"/>
        <v>11780.599999999999</v>
      </c>
      <c r="O107" s="53">
        <f t="shared" si="12"/>
        <v>11032</v>
      </c>
      <c r="P107" s="53">
        <f t="shared" si="12"/>
        <v>0</v>
      </c>
      <c r="Q107" s="53">
        <f t="shared" si="12"/>
        <v>0</v>
      </c>
      <c r="R107" s="53">
        <f t="shared" si="12"/>
        <v>0</v>
      </c>
      <c r="S107" s="53">
        <f t="shared" si="12"/>
        <v>0</v>
      </c>
      <c r="T107" s="53">
        <f t="shared" si="12"/>
        <v>0</v>
      </c>
      <c r="U107" s="53">
        <f t="shared" si="12"/>
        <v>0</v>
      </c>
      <c r="V107" s="53">
        <f t="shared" si="12"/>
        <v>13080.800000000001</v>
      </c>
      <c r="W107" s="53">
        <f t="shared" si="12"/>
        <v>13080.800000000001</v>
      </c>
    </row>
    <row r="108" spans="1:67" x14ac:dyDescent="0.3">
      <c r="A108" s="495" t="s">
        <v>422</v>
      </c>
      <c r="B108" s="482">
        <f>B107/('Calcul Fr métro'!C169*'Calcul Fr métro'!C171)</f>
        <v>7.9125150001935499E-2</v>
      </c>
      <c r="C108" s="483">
        <f>C107/('Calcul Fr métro'!D169*'Calcul Fr métro'!D171)</f>
        <v>9.0965046575661804E-2</v>
      </c>
      <c r="D108" s="483">
        <f>D107/('Calcul Fr métro'!E169*'Calcul Fr métro'!E171)</f>
        <v>9.1470312792657799E-2</v>
      </c>
      <c r="E108" s="483">
        <f>E107/('Calcul Fr métro'!F169*'Calcul Fr métro'!F171)</f>
        <v>8.87772761793445E-2</v>
      </c>
      <c r="F108" s="483">
        <f>F107/('Calcul Fr métro'!G169*'Calcul Fr métro'!G171)</f>
        <v>0.10193344500686587</v>
      </c>
      <c r="G108" s="483">
        <f>G107/('Calcul Fr métro'!H169*'Calcul Fr métro'!H171)</f>
        <v>8.7562393162393157E-2</v>
      </c>
      <c r="H108" s="483">
        <f>H107/('Calcul Fr métro'!I169*'Calcul Fr métro'!I171)</f>
        <v>7.2080589234600076E-2</v>
      </c>
      <c r="I108" s="483">
        <f>I107/('Calcul Fr métro'!J169*'Calcul Fr métro'!J171)</f>
        <v>6.812940287226002E-2</v>
      </c>
      <c r="J108" s="483">
        <f>J107/('Calcul Fr métro'!K169*'Calcul Fr métro'!K171)</f>
        <v>8.7202695228038404E-2</v>
      </c>
      <c r="K108" s="483">
        <f>K107/('Calcul Fr métro'!L169*'Calcul Fr métro'!L171)</f>
        <v>8.0920400558544089E-2</v>
      </c>
      <c r="L108" s="483">
        <f>L107/('Calcul Fr métro'!M169*'Calcul Fr métro'!M171)</f>
        <v>7.1388867696264888E-2</v>
      </c>
      <c r="M108" s="483">
        <f>M107/('Calcul Fr métro'!N169*'Calcul Fr métro'!N171)</f>
        <v>8.55065571171644E-2</v>
      </c>
      <c r="N108" s="483">
        <f>N107/('Calcul Fr métro'!O169*'Calcul Fr métro'!O171)</f>
        <v>7.9418347535325201E-2</v>
      </c>
      <c r="O108" s="483">
        <f>O107/('Calcul Fr métro'!P169*'Calcul Fr métro'!P171)</f>
        <v>7.7628475408267242E-2</v>
      </c>
      <c r="P108" s="483"/>
      <c r="Q108" s="483"/>
      <c r="R108" s="483"/>
      <c r="S108" s="483"/>
      <c r="T108" s="483"/>
      <c r="U108" s="483"/>
      <c r="V108" s="483">
        <f>V107/('Calcul Fr métro'!W169*'Calcul Fr métro'!W171)</f>
        <v>7.9075783941899541E-2</v>
      </c>
      <c r="W108" s="486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</row>
    <row r="109" spans="1:67" x14ac:dyDescent="0.3">
      <c r="A109" s="467" t="s">
        <v>493</v>
      </c>
      <c r="B109" s="233">
        <f>'Calcul R84'!C139</f>
        <v>1716</v>
      </c>
      <c r="C109" s="247">
        <f>'Calcul R84'!D139</f>
        <v>1819</v>
      </c>
      <c r="D109" s="247">
        <f>'Calcul R84'!E139</f>
        <v>1795</v>
      </c>
      <c r="E109" s="247">
        <f>'Calcul R84'!F139</f>
        <v>1781</v>
      </c>
      <c r="F109" s="247">
        <f>'Calcul R84'!G139</f>
        <v>1759</v>
      </c>
      <c r="G109" s="247">
        <f>'Calcul R84'!H139</f>
        <v>1768</v>
      </c>
      <c r="H109" s="247">
        <f>'Calcul R84'!I139</f>
        <v>1747</v>
      </c>
      <c r="I109" s="247">
        <f>'Calcul R84'!J139</f>
        <v>1715</v>
      </c>
      <c r="J109" s="247">
        <f>'Calcul R84'!K139</f>
        <v>1597</v>
      </c>
      <c r="K109" s="247">
        <f>'Calcul R84'!L139</f>
        <v>1585</v>
      </c>
      <c r="L109" s="247">
        <f>'Calcul R84'!M139</f>
        <v>1493</v>
      </c>
      <c r="M109" s="247">
        <f>'Calcul R84'!N139</f>
        <v>1674</v>
      </c>
      <c r="N109" s="247">
        <f>'Calcul R84'!O139</f>
        <v>1503</v>
      </c>
      <c r="O109" s="247">
        <f>'Calcul R84'!P139</f>
        <v>1459</v>
      </c>
      <c r="P109" s="247">
        <f>'Calcul R84'!Q139</f>
        <v>0</v>
      </c>
      <c r="Q109" s="247">
        <f>'Calcul R84'!R139</f>
        <v>0</v>
      </c>
      <c r="R109" s="247">
        <f>'Calcul R84'!S139</f>
        <v>0</v>
      </c>
      <c r="S109" s="247">
        <f>'Calcul R84'!T139</f>
        <v>0</v>
      </c>
      <c r="T109" s="247">
        <f>'Calcul R84'!U139</f>
        <v>0</v>
      </c>
      <c r="U109" s="247">
        <f>'Calcul R84'!V139</f>
        <v>0</v>
      </c>
      <c r="V109" s="247">
        <f>'Calcul R84'!W139</f>
        <v>1545.3333333333333</v>
      </c>
      <c r="W109" s="247">
        <f>'Calcul R84'!X139</f>
        <v>1545.3333333333333</v>
      </c>
    </row>
    <row r="110" spans="1:67" x14ac:dyDescent="0.3">
      <c r="A110" s="468" t="s">
        <v>494</v>
      </c>
      <c r="B110" s="440">
        <f>'Calcul R84'!C141</f>
        <v>26.5</v>
      </c>
      <c r="C110" s="253">
        <f>'Calcul R84'!D141</f>
        <v>24.8</v>
      </c>
      <c r="D110" s="253">
        <f>'Calcul R84'!E141</f>
        <v>26.8</v>
      </c>
      <c r="E110" s="253">
        <f>'Calcul R84'!F141</f>
        <v>23.4</v>
      </c>
      <c r="F110" s="253">
        <f>'Calcul R84'!G141</f>
        <v>20.399999999999999</v>
      </c>
      <c r="G110" s="253">
        <f>'Calcul R84'!H141</f>
        <v>21.9</v>
      </c>
      <c r="H110" s="253">
        <f>'Calcul R84'!I141</f>
        <v>19.5</v>
      </c>
      <c r="I110" s="253">
        <f>'Calcul R84'!J141</f>
        <v>21.1</v>
      </c>
      <c r="J110" s="253">
        <f>'Calcul R84'!K141</f>
        <v>21.1</v>
      </c>
      <c r="K110" s="253">
        <f>'Calcul R84'!L141</f>
        <v>20.2</v>
      </c>
      <c r="L110" s="253">
        <f>'Calcul R84'!M141</f>
        <v>20.3</v>
      </c>
      <c r="M110" s="253">
        <f>'Calcul R84'!N141</f>
        <v>21.1</v>
      </c>
      <c r="N110" s="253">
        <f>'Calcul R84'!O141</f>
        <v>19.7</v>
      </c>
      <c r="O110" s="253">
        <f>'Calcul R84'!P141</f>
        <v>19.8</v>
      </c>
      <c r="P110" s="253">
        <f>'Calcul R84'!Q141</f>
        <v>0</v>
      </c>
      <c r="Q110" s="253">
        <f>'Calcul R84'!R141</f>
        <v>0</v>
      </c>
      <c r="R110" s="253">
        <f>'Calcul R84'!S141</f>
        <v>0</v>
      </c>
      <c r="S110" s="253">
        <f>'Calcul R84'!T141</f>
        <v>0</v>
      </c>
      <c r="T110" s="253">
        <f>'Calcul R84'!U141</f>
        <v>0</v>
      </c>
      <c r="U110" s="253">
        <f>'Calcul R84'!V141</f>
        <v>0</v>
      </c>
      <c r="V110" s="253">
        <f>'Calcul R84'!W141</f>
        <v>19.8</v>
      </c>
      <c r="W110" s="253">
        <f>'Calcul R84'!X141</f>
        <v>19.8</v>
      </c>
    </row>
    <row r="111" spans="1:67" x14ac:dyDescent="0.3">
      <c r="A111" s="468" t="s">
        <v>495</v>
      </c>
      <c r="B111" s="58">
        <f t="shared" ref="B111" si="13">B110*B109</f>
        <v>45474</v>
      </c>
      <c r="C111" s="53">
        <f t="shared" ref="C111:W111" si="14">C110*C109</f>
        <v>45111.200000000004</v>
      </c>
      <c r="D111" s="53">
        <f t="shared" si="14"/>
        <v>48106</v>
      </c>
      <c r="E111" s="53">
        <f t="shared" si="14"/>
        <v>41675.399999999994</v>
      </c>
      <c r="F111" s="53">
        <f t="shared" si="14"/>
        <v>35883.599999999999</v>
      </c>
      <c r="G111" s="53">
        <f t="shared" si="14"/>
        <v>38719.199999999997</v>
      </c>
      <c r="H111" s="53">
        <f t="shared" si="14"/>
        <v>34066.5</v>
      </c>
      <c r="I111" s="53">
        <f t="shared" si="14"/>
        <v>36186.5</v>
      </c>
      <c r="J111" s="53">
        <f t="shared" si="14"/>
        <v>33696.700000000004</v>
      </c>
      <c r="K111" s="53">
        <f t="shared" si="14"/>
        <v>32017</v>
      </c>
      <c r="L111" s="53">
        <f t="shared" si="14"/>
        <v>30307.9</v>
      </c>
      <c r="M111" s="53">
        <f t="shared" si="14"/>
        <v>35321.4</v>
      </c>
      <c r="N111" s="53">
        <f t="shared" si="14"/>
        <v>29609.1</v>
      </c>
      <c r="O111" s="53">
        <f t="shared" si="14"/>
        <v>28888.2</v>
      </c>
      <c r="P111" s="53">
        <f t="shared" si="14"/>
        <v>0</v>
      </c>
      <c r="Q111" s="53">
        <f t="shared" si="14"/>
        <v>0</v>
      </c>
      <c r="R111" s="53">
        <f t="shared" si="14"/>
        <v>0</v>
      </c>
      <c r="S111" s="53">
        <f t="shared" si="14"/>
        <v>0</v>
      </c>
      <c r="T111" s="53">
        <f t="shared" si="14"/>
        <v>0</v>
      </c>
      <c r="U111" s="53">
        <f t="shared" si="14"/>
        <v>0</v>
      </c>
      <c r="V111" s="53">
        <f t="shared" si="14"/>
        <v>30597.599999999999</v>
      </c>
      <c r="W111" s="53">
        <f t="shared" si="14"/>
        <v>30597.599999999999</v>
      </c>
    </row>
    <row r="112" spans="1:67" x14ac:dyDescent="0.3">
      <c r="A112" s="495" t="s">
        <v>422</v>
      </c>
      <c r="B112" s="482">
        <f>B111/('Calcul Fr métro'!C176*'Calcul Fr métro'!C178)</f>
        <v>0.10811332570322163</v>
      </c>
      <c r="C112" s="483">
        <f>C111/('Calcul Fr métro'!D176*'Calcul Fr métro'!D178)</f>
        <v>0.11008907435878666</v>
      </c>
      <c r="D112" s="483">
        <f>D111/('Calcul Fr métro'!E176*'Calcul Fr métro'!E178)</f>
        <v>0.11557496780641566</v>
      </c>
      <c r="E112" s="483">
        <f>E111/('Calcul Fr métro'!F176*'Calcul Fr métro'!F178)</f>
        <v>0.10569861612862971</v>
      </c>
      <c r="F112" s="483">
        <f>F111/('Calcul Fr métro'!G176*'Calcul Fr métro'!G178)</f>
        <v>9.5402755714485116E-2</v>
      </c>
      <c r="G112" s="483">
        <f>G111/('Calcul Fr métro'!H176*'Calcul Fr métro'!H178)</f>
        <v>0.10321742725780124</v>
      </c>
      <c r="H112" s="483">
        <f>H111/('Calcul Fr métro'!I176*'Calcul Fr métro'!I178)</f>
        <v>9.3211829022037146E-2</v>
      </c>
      <c r="I112" s="483">
        <f>I111/('Calcul Fr métro'!J176*'Calcul Fr métro'!J178)</f>
        <v>0.10491626182487873</v>
      </c>
      <c r="J112" s="483">
        <f>J111/('Calcul Fr métro'!K176*'Calcul Fr métro'!K178)</f>
        <v>9.9398125232664544E-2</v>
      </c>
      <c r="K112" s="483">
        <f>K111/('Calcul Fr métro'!L176*'Calcul Fr métro'!L178)</f>
        <v>9.8092380920867986E-2</v>
      </c>
      <c r="L112" s="483">
        <f>L111/('Calcul Fr métro'!M176*'Calcul Fr métro'!M178)</f>
        <v>9.855868664295804E-2</v>
      </c>
      <c r="M112" s="483">
        <f>M111/('Calcul Fr métro'!N176*'Calcul Fr métro'!N178)</f>
        <v>0.12136378348624612</v>
      </c>
      <c r="N112" s="483">
        <f>N111/('Calcul Fr métro'!O176*'Calcul Fr métro'!O178)</f>
        <v>9.7277654173834299E-2</v>
      </c>
      <c r="O112" s="483">
        <f>O111/('Calcul Fr métro'!P176*'Calcul Fr métro'!P178)</f>
        <v>0.10174767540152156</v>
      </c>
      <c r="P112" s="483"/>
      <c r="Q112" s="483"/>
      <c r="R112" s="483"/>
      <c r="S112" s="483"/>
      <c r="T112" s="483"/>
      <c r="U112" s="483"/>
      <c r="V112" s="483">
        <f>V111/('Calcul Fr métro'!W176*'Calcul Fr métro'!W178)</f>
        <v>0.10202260678203461</v>
      </c>
      <c r="W112" s="486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</row>
    <row r="113" spans="1:67" x14ac:dyDescent="0.3">
      <c r="A113" s="467" t="s">
        <v>496</v>
      </c>
      <c r="B113" s="233">
        <f>'Calcul R84'!C146</f>
        <v>564</v>
      </c>
      <c r="C113" s="247">
        <f>'Calcul R84'!D146</f>
        <v>577</v>
      </c>
      <c r="D113" s="247">
        <f>'Calcul R84'!E146</f>
        <v>594</v>
      </c>
      <c r="E113" s="247">
        <f>'Calcul R84'!F146</f>
        <v>530</v>
      </c>
      <c r="F113" s="247">
        <f>'Calcul R84'!G146</f>
        <v>499</v>
      </c>
      <c r="G113" s="247">
        <f>'Calcul R84'!H146</f>
        <v>483</v>
      </c>
      <c r="H113" s="247">
        <f>'Calcul R84'!I146</f>
        <v>488</v>
      </c>
      <c r="I113" s="247">
        <f>'Calcul R84'!J146</f>
        <v>496</v>
      </c>
      <c r="J113" s="247">
        <f>'Calcul R84'!K146</f>
        <v>500</v>
      </c>
      <c r="K113" s="247">
        <f>'Calcul R84'!L146</f>
        <v>501</v>
      </c>
      <c r="L113" s="247">
        <f>'Calcul R84'!M146</f>
        <v>551</v>
      </c>
      <c r="M113" s="247">
        <f>'Calcul R84'!N146</f>
        <v>547</v>
      </c>
      <c r="N113" s="247">
        <f>'Calcul R84'!O146</f>
        <v>547</v>
      </c>
      <c r="O113" s="247">
        <f>'Calcul R84'!P146</f>
        <v>527</v>
      </c>
      <c r="P113" s="247">
        <f>'Calcul R84'!Q146</f>
        <v>0</v>
      </c>
      <c r="Q113" s="247">
        <f>'Calcul R84'!R146</f>
        <v>0</v>
      </c>
      <c r="R113" s="247">
        <f>'Calcul R84'!S146</f>
        <v>0</v>
      </c>
      <c r="S113" s="247">
        <f>'Calcul R84'!T146</f>
        <v>0</v>
      </c>
      <c r="T113" s="247">
        <f>'Calcul R84'!U146</f>
        <v>0</v>
      </c>
      <c r="U113" s="247">
        <f>'Calcul R84'!V146</f>
        <v>0</v>
      </c>
      <c r="V113" s="247">
        <f>'Calcul R84'!W146</f>
        <v>540.33333333333337</v>
      </c>
      <c r="W113" s="247">
        <f>'Calcul R84'!X146</f>
        <v>540.33333333333337</v>
      </c>
    </row>
    <row r="114" spans="1:67" x14ac:dyDescent="0.3">
      <c r="A114" s="468" t="s">
        <v>497</v>
      </c>
      <c r="B114" s="440">
        <f>'Calcul R84'!C148</f>
        <v>104.9</v>
      </c>
      <c r="C114" s="253">
        <f>'Calcul R84'!D148</f>
        <v>108.2</v>
      </c>
      <c r="D114" s="253">
        <f>'Calcul R84'!E148</f>
        <v>101.8</v>
      </c>
      <c r="E114" s="253">
        <f>'Calcul R84'!F148</f>
        <v>108.1</v>
      </c>
      <c r="F114" s="253">
        <f>'Calcul R84'!G148</f>
        <v>111</v>
      </c>
      <c r="G114" s="253">
        <f>'Calcul R84'!H148</f>
        <v>112.8</v>
      </c>
      <c r="H114" s="253">
        <f>'Calcul R84'!I148</f>
        <v>128.30000000000001</v>
      </c>
      <c r="I114" s="253">
        <f>'Calcul R84'!J148</f>
        <v>130.6</v>
      </c>
      <c r="J114" s="253">
        <f>'Calcul R84'!K148</f>
        <v>133.6</v>
      </c>
      <c r="K114" s="253">
        <f>'Calcul R84'!L148</f>
        <v>128.19999999999999</v>
      </c>
      <c r="L114" s="253">
        <f>'Calcul R84'!M148</f>
        <v>123.8</v>
      </c>
      <c r="M114" s="253">
        <f>'Calcul R84'!N148</f>
        <v>124</v>
      </c>
      <c r="N114" s="253">
        <f>'Calcul R84'!O148</f>
        <v>112.5</v>
      </c>
      <c r="O114" s="253">
        <f>'Calcul R84'!P148</f>
        <v>95.8</v>
      </c>
      <c r="P114" s="253">
        <f>'Calcul R84'!Q148</f>
        <v>0</v>
      </c>
      <c r="Q114" s="253">
        <f>'Calcul R84'!R148</f>
        <v>0</v>
      </c>
      <c r="R114" s="253">
        <f>'Calcul R84'!S148</f>
        <v>0</v>
      </c>
      <c r="S114" s="253">
        <f>'Calcul R84'!T148</f>
        <v>0</v>
      </c>
      <c r="T114" s="253">
        <f>'Calcul R84'!U148</f>
        <v>0</v>
      </c>
      <c r="U114" s="253">
        <f>'Calcul R84'!V148</f>
        <v>0</v>
      </c>
      <c r="V114" s="253">
        <f>'Calcul R84'!W148</f>
        <v>114.5</v>
      </c>
      <c r="W114" s="253">
        <f>'Calcul R84'!X148</f>
        <v>114.5</v>
      </c>
    </row>
    <row r="115" spans="1:67" x14ac:dyDescent="0.3">
      <c r="A115" s="468" t="s">
        <v>498</v>
      </c>
      <c r="B115" s="58">
        <f t="shared" ref="B115" si="15">B114*B113</f>
        <v>59163.600000000006</v>
      </c>
      <c r="C115" s="53">
        <f t="shared" ref="C115:W115" si="16">C114*C113</f>
        <v>62431.4</v>
      </c>
      <c r="D115" s="53">
        <f t="shared" si="16"/>
        <v>60469.2</v>
      </c>
      <c r="E115" s="53">
        <f t="shared" si="16"/>
        <v>57293</v>
      </c>
      <c r="F115" s="53">
        <f t="shared" si="16"/>
        <v>55389</v>
      </c>
      <c r="G115" s="53">
        <f t="shared" si="16"/>
        <v>54482.400000000001</v>
      </c>
      <c r="H115" s="53">
        <f t="shared" si="16"/>
        <v>62610.400000000009</v>
      </c>
      <c r="I115" s="53">
        <f t="shared" si="16"/>
        <v>64777.599999999999</v>
      </c>
      <c r="J115" s="53">
        <f t="shared" si="16"/>
        <v>66800</v>
      </c>
      <c r="K115" s="53">
        <f t="shared" si="16"/>
        <v>64228.2</v>
      </c>
      <c r="L115" s="53">
        <f t="shared" si="16"/>
        <v>68213.8</v>
      </c>
      <c r="M115" s="53">
        <f t="shared" si="16"/>
        <v>67828</v>
      </c>
      <c r="N115" s="53">
        <f t="shared" si="16"/>
        <v>61537.5</v>
      </c>
      <c r="O115" s="53">
        <f t="shared" si="16"/>
        <v>50486.6</v>
      </c>
      <c r="P115" s="53">
        <f t="shared" si="16"/>
        <v>0</v>
      </c>
      <c r="Q115" s="53">
        <f t="shared" si="16"/>
        <v>0</v>
      </c>
      <c r="R115" s="53">
        <f t="shared" si="16"/>
        <v>0</v>
      </c>
      <c r="S115" s="53">
        <f t="shared" si="16"/>
        <v>0</v>
      </c>
      <c r="T115" s="53">
        <f t="shared" si="16"/>
        <v>0</v>
      </c>
      <c r="U115" s="53">
        <f t="shared" si="16"/>
        <v>0</v>
      </c>
      <c r="V115" s="53">
        <f t="shared" si="16"/>
        <v>61868.166666666672</v>
      </c>
      <c r="W115" s="53">
        <f t="shared" si="16"/>
        <v>61868.166666666672</v>
      </c>
    </row>
    <row r="116" spans="1:67" x14ac:dyDescent="0.3">
      <c r="A116" s="495" t="s">
        <v>422</v>
      </c>
      <c r="B116" s="482">
        <f>B115/('Calcul Fr métro'!C183*'Calcul Fr métro'!C185)</f>
        <v>7.3483361428203081E-2</v>
      </c>
      <c r="C116" s="483">
        <f>C115/('Calcul Fr métro'!D183*'Calcul Fr métro'!D185)</f>
        <v>8.1477955832708102E-2</v>
      </c>
      <c r="D116" s="483">
        <f>D115/('Calcul Fr métro'!E183*'Calcul Fr métro'!E185)</f>
        <v>7.8756303387829185E-2</v>
      </c>
      <c r="E116" s="483">
        <f>E115/('Calcul Fr métro'!F183*'Calcul Fr métro'!F185)</f>
        <v>8.1540991380647673E-2</v>
      </c>
      <c r="F116" s="483">
        <f>F115/('Calcul Fr métro'!G183*'Calcul Fr métro'!G185)</f>
        <v>7.2371103874595943E-2</v>
      </c>
      <c r="G116" s="483">
        <f>G115/('Calcul Fr métro'!H183*'Calcul Fr métro'!H185)</f>
        <v>7.1023920892640618E-2</v>
      </c>
      <c r="H116" s="483">
        <f>H115/('Calcul Fr métro'!I183*'Calcul Fr métro'!I185)</f>
        <v>7.7564300778586504E-2</v>
      </c>
      <c r="I116" s="483">
        <f>I115/('Calcul Fr métro'!J183*'Calcul Fr métro'!J185)</f>
        <v>8.1962205900029728E-2</v>
      </c>
      <c r="J116" s="483">
        <f>J115/('Calcul Fr métro'!K183*'Calcul Fr métro'!K185)</f>
        <v>9.5583129348728313E-2</v>
      </c>
      <c r="K116" s="483">
        <f>K115/('Calcul Fr métro'!L183*'Calcul Fr métro'!L185)</f>
        <v>9.1365420000384071E-2</v>
      </c>
      <c r="L116" s="483">
        <f>L115/('Calcul Fr métro'!M183*'Calcul Fr métro'!M185)</f>
        <v>0.10268844786951029</v>
      </c>
      <c r="M116" s="483">
        <f>M115/('Calcul Fr métro'!N183*'Calcul Fr métro'!N185)</f>
        <v>9.8273505417734844E-2</v>
      </c>
      <c r="N116" s="483">
        <f>N115/('Calcul Fr métro'!O183*'Calcul Fr métro'!O185)</f>
        <v>9.1799388854379438E-2</v>
      </c>
      <c r="O116" s="483">
        <f>O115/('Calcul Fr métro'!P183*'Calcul Fr métro'!P185)</f>
        <v>8.0186030141431691E-2</v>
      </c>
      <c r="P116" s="483"/>
      <c r="Q116" s="483"/>
      <c r="R116" s="483"/>
      <c r="S116" s="483"/>
      <c r="T116" s="483"/>
      <c r="U116" s="483"/>
      <c r="V116" s="483">
        <f>V115/('Calcul Fr métro'!W183*'Calcul Fr métro'!W185)</f>
        <v>9.2910760477161292E-2</v>
      </c>
      <c r="W116" s="486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</row>
    <row r="117" spans="1:67" x14ac:dyDescent="0.3">
      <c r="A117" s="467" t="s">
        <v>499</v>
      </c>
      <c r="B117" s="233">
        <f>'Calcul R84'!C153</f>
        <v>596</v>
      </c>
      <c r="C117" s="247">
        <f>'Calcul R84'!D153</f>
        <v>594</v>
      </c>
      <c r="D117" s="247">
        <f>'Calcul R84'!E153</f>
        <v>590</v>
      </c>
      <c r="E117" s="247">
        <f>'Calcul R84'!F153</f>
        <v>589</v>
      </c>
      <c r="F117" s="247">
        <f>'Calcul R84'!G153</f>
        <v>586</v>
      </c>
      <c r="G117" s="247">
        <f>'Calcul R84'!H153</f>
        <v>584</v>
      </c>
      <c r="H117" s="247">
        <f>'Calcul R84'!I153</f>
        <v>557</v>
      </c>
      <c r="I117" s="247">
        <f>'Calcul R84'!J153</f>
        <v>554</v>
      </c>
      <c r="J117" s="247">
        <f>'Calcul R84'!K153</f>
        <v>553</v>
      </c>
      <c r="K117" s="247">
        <f>'Calcul R84'!L153</f>
        <v>535</v>
      </c>
      <c r="L117" s="247">
        <f>'Calcul R84'!M153</f>
        <v>515</v>
      </c>
      <c r="M117" s="247">
        <f>'Calcul R84'!N153</f>
        <v>535</v>
      </c>
      <c r="N117" s="247">
        <f>'Calcul R84'!O153</f>
        <v>533</v>
      </c>
      <c r="O117" s="247">
        <f>'Calcul R84'!P153</f>
        <v>543</v>
      </c>
      <c r="P117" s="247">
        <f>'Calcul R84'!Q153</f>
        <v>0</v>
      </c>
      <c r="Q117" s="247">
        <f>'Calcul R84'!R153</f>
        <v>0</v>
      </c>
      <c r="R117" s="247">
        <f>'Calcul R84'!S153</f>
        <v>0</v>
      </c>
      <c r="S117" s="247">
        <f>'Calcul R84'!T153</f>
        <v>0</v>
      </c>
      <c r="T117" s="247">
        <f>'Calcul R84'!U153</f>
        <v>0</v>
      </c>
      <c r="U117" s="247">
        <f>'Calcul R84'!V153</f>
        <v>0</v>
      </c>
      <c r="V117" s="247">
        <f>'Calcul R84'!W153</f>
        <v>537</v>
      </c>
      <c r="W117" s="247">
        <f>'Calcul R84'!X153</f>
        <v>537</v>
      </c>
    </row>
    <row r="118" spans="1:67" x14ac:dyDescent="0.3">
      <c r="A118" s="468" t="s">
        <v>500</v>
      </c>
      <c r="B118" s="440">
        <f>'Calcul R84'!C155</f>
        <v>33.9</v>
      </c>
      <c r="C118" s="253">
        <f>'Calcul R84'!D155</f>
        <v>36.799999999999997</v>
      </c>
      <c r="D118" s="253">
        <f>'Calcul R84'!E155</f>
        <v>37.799999999999997</v>
      </c>
      <c r="E118" s="253">
        <f>'Calcul R84'!F155</f>
        <v>35.799999999999997</v>
      </c>
      <c r="F118" s="253">
        <f>'Calcul R84'!G155</f>
        <v>37.799999999999997</v>
      </c>
      <c r="G118" s="253">
        <f>'Calcul R84'!H155</f>
        <v>39.799999999999997</v>
      </c>
      <c r="H118" s="253">
        <f>'Calcul R84'!I155</f>
        <v>37.799999999999997</v>
      </c>
      <c r="I118" s="253">
        <f>'Calcul R84'!J155</f>
        <v>34</v>
      </c>
      <c r="J118" s="253">
        <f>'Calcul R84'!K155</f>
        <v>39</v>
      </c>
      <c r="K118" s="253">
        <f>'Calcul R84'!L155</f>
        <v>32</v>
      </c>
      <c r="L118" s="253">
        <f>'Calcul R84'!M155</f>
        <v>38</v>
      </c>
      <c r="M118" s="253">
        <f>'Calcul R84'!N155</f>
        <v>41</v>
      </c>
      <c r="N118" s="253">
        <f>'Calcul R84'!O155</f>
        <v>36</v>
      </c>
      <c r="O118" s="253">
        <f>'Calcul R84'!P155</f>
        <v>40</v>
      </c>
      <c r="P118" s="253">
        <f>'Calcul R84'!Q155</f>
        <v>0</v>
      </c>
      <c r="Q118" s="253">
        <f>'Calcul R84'!R155</f>
        <v>0</v>
      </c>
      <c r="R118" s="253">
        <f>'Calcul R84'!S155</f>
        <v>0</v>
      </c>
      <c r="S118" s="253">
        <f>'Calcul R84'!T155</f>
        <v>0</v>
      </c>
      <c r="T118" s="253">
        <f>'Calcul R84'!U155</f>
        <v>0</v>
      </c>
      <c r="U118" s="253">
        <f>'Calcul R84'!V155</f>
        <v>0</v>
      </c>
      <c r="V118" s="253">
        <f>'Calcul R84'!W155</f>
        <v>36.700000000000003</v>
      </c>
      <c r="W118" s="253">
        <f>'Calcul R84'!X155</f>
        <v>36.700000000000003</v>
      </c>
    </row>
    <row r="119" spans="1:67" x14ac:dyDescent="0.3">
      <c r="A119" s="468" t="s">
        <v>501</v>
      </c>
      <c r="B119" s="58">
        <f t="shared" ref="B119" si="17">B118*B117</f>
        <v>20204.399999999998</v>
      </c>
      <c r="C119" s="53">
        <f t="shared" ref="C119:W119" si="18">C118*C117</f>
        <v>21859.199999999997</v>
      </c>
      <c r="D119" s="53">
        <f t="shared" si="18"/>
        <v>22302</v>
      </c>
      <c r="E119" s="53">
        <f t="shared" si="18"/>
        <v>21086.199999999997</v>
      </c>
      <c r="F119" s="53">
        <f t="shared" si="18"/>
        <v>22150.799999999999</v>
      </c>
      <c r="G119" s="53">
        <f t="shared" si="18"/>
        <v>23243.199999999997</v>
      </c>
      <c r="H119" s="53">
        <f t="shared" si="18"/>
        <v>21054.6</v>
      </c>
      <c r="I119" s="53">
        <f t="shared" si="18"/>
        <v>18836</v>
      </c>
      <c r="J119" s="53">
        <f t="shared" si="18"/>
        <v>21567</v>
      </c>
      <c r="K119" s="53">
        <f t="shared" si="18"/>
        <v>17120</v>
      </c>
      <c r="L119" s="53">
        <f t="shared" si="18"/>
        <v>19570</v>
      </c>
      <c r="M119" s="53">
        <f t="shared" si="18"/>
        <v>21935</v>
      </c>
      <c r="N119" s="53">
        <f t="shared" si="18"/>
        <v>19188</v>
      </c>
      <c r="O119" s="53">
        <f t="shared" si="18"/>
        <v>21720</v>
      </c>
      <c r="P119" s="53">
        <f t="shared" si="18"/>
        <v>0</v>
      </c>
      <c r="Q119" s="53">
        <f t="shared" si="18"/>
        <v>0</v>
      </c>
      <c r="R119" s="53">
        <f t="shared" si="18"/>
        <v>0</v>
      </c>
      <c r="S119" s="53">
        <f t="shared" si="18"/>
        <v>0</v>
      </c>
      <c r="T119" s="53">
        <f t="shared" si="18"/>
        <v>0</v>
      </c>
      <c r="U119" s="53">
        <f t="shared" si="18"/>
        <v>0</v>
      </c>
      <c r="V119" s="53">
        <f t="shared" si="18"/>
        <v>19707.900000000001</v>
      </c>
      <c r="W119" s="53">
        <f t="shared" si="18"/>
        <v>19707.900000000001</v>
      </c>
    </row>
    <row r="120" spans="1:67" x14ac:dyDescent="0.3">
      <c r="A120" s="495" t="s">
        <v>422</v>
      </c>
      <c r="B120" s="482">
        <f>B119/('Calcul Fr métro'!C190*'Calcul Fr métro'!C192)</f>
        <v>0.11987554644225153</v>
      </c>
      <c r="C120" s="483">
        <f>C119/('Calcul Fr métro'!D190*'Calcul Fr métro'!D192)</f>
        <v>0.12878959276018098</v>
      </c>
      <c r="D120" s="483">
        <f>D119/('Calcul Fr métro'!E190*'Calcul Fr métro'!E192)</f>
        <v>0.14114832535885166</v>
      </c>
      <c r="E120" s="483">
        <f>E119/('Calcul Fr métro'!F190*'Calcul Fr métro'!F192)</f>
        <v>0.1256207701839672</v>
      </c>
      <c r="F120" s="483">
        <f>F119/('Calcul Fr métro'!G190*'Calcul Fr métro'!G192)</f>
        <v>0.12752625276344878</v>
      </c>
      <c r="G120" s="483">
        <f>G119/('Calcul Fr métro'!H190*'Calcul Fr métro'!H192)</f>
        <v>0.13708580602315981</v>
      </c>
      <c r="H120" s="483">
        <f>H119/('Calcul Fr métro'!I190*'Calcul Fr métro'!I192)</f>
        <v>0.12846238796317197</v>
      </c>
      <c r="I120" s="483">
        <f>I119/('Calcul Fr métro'!J190*'Calcul Fr métro'!J192)</f>
        <v>0.10973243252847736</v>
      </c>
      <c r="J120" s="483">
        <f>J119/('Calcul Fr métro'!K190*'Calcul Fr métro'!K192)</f>
        <v>0.12957939419064698</v>
      </c>
      <c r="K120" s="483">
        <f>K119/('Calcul Fr métro'!L190*'Calcul Fr métro'!L192)</f>
        <v>0.10363283950348247</v>
      </c>
      <c r="L120" s="483">
        <f>L119/('Calcul Fr métro'!M190*'Calcul Fr métro'!M192)</f>
        <v>0.1177820856878215</v>
      </c>
      <c r="M120" s="483">
        <f>M119/('Calcul Fr métro'!N190*'Calcul Fr métro'!N192)</f>
        <v>0.11870937714783607</v>
      </c>
      <c r="N120" s="483">
        <f>N119/('Calcul Fr métro'!O190*'Calcul Fr métro'!O192)</f>
        <v>0.12502964795175006</v>
      </c>
      <c r="O120" s="483">
        <f>O119/('Calcul Fr métro'!P190*'Calcul Fr métro'!P192)</f>
        <v>0.12371838687628162</v>
      </c>
      <c r="P120" s="483"/>
      <c r="Q120" s="483"/>
      <c r="R120" s="483"/>
      <c r="S120" s="483"/>
      <c r="T120" s="483"/>
      <c r="U120" s="483"/>
      <c r="V120" s="483">
        <f>V119/('Calcul Fr métro'!W190*'Calcul Fr métro'!W192)</f>
        <v>0.1171915138356618</v>
      </c>
      <c r="W120" s="486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</row>
    <row r="121" spans="1:67" x14ac:dyDescent="0.3">
      <c r="A121" s="467" t="s">
        <v>502</v>
      </c>
      <c r="B121" s="233">
        <f>'Calcul R84'!C160</f>
        <v>329</v>
      </c>
      <c r="C121" s="247">
        <f>'Calcul R84'!D160</f>
        <v>331</v>
      </c>
      <c r="D121" s="247">
        <f>'Calcul R84'!E160</f>
        <v>331</v>
      </c>
      <c r="E121" s="247">
        <f>'Calcul R84'!F160</f>
        <v>335</v>
      </c>
      <c r="F121" s="247">
        <f>'Calcul R84'!G160</f>
        <v>336</v>
      </c>
      <c r="G121" s="247">
        <f>'Calcul R84'!H160</f>
        <v>340</v>
      </c>
      <c r="H121" s="247">
        <f>'Calcul R84'!I160</f>
        <v>387</v>
      </c>
      <c r="I121" s="247">
        <f>'Calcul R84'!J160</f>
        <v>391</v>
      </c>
      <c r="J121" s="247">
        <f>'Calcul R84'!K160</f>
        <v>402</v>
      </c>
      <c r="K121" s="247">
        <f>'Calcul R84'!L160</f>
        <v>418</v>
      </c>
      <c r="L121" s="247">
        <f>'Calcul R84'!M160</f>
        <v>430</v>
      </c>
      <c r="M121" s="247">
        <f>'Calcul R84'!N160</f>
        <v>430</v>
      </c>
      <c r="N121" s="247">
        <f>'Calcul R84'!O160</f>
        <v>423</v>
      </c>
      <c r="O121" s="247">
        <f>'Calcul R84'!P160</f>
        <v>444</v>
      </c>
      <c r="P121" s="247">
        <f>'Calcul R84'!Q160</f>
        <v>0</v>
      </c>
      <c r="Q121" s="247">
        <f>'Calcul R84'!R160</f>
        <v>0</v>
      </c>
      <c r="R121" s="247">
        <f>'Calcul R84'!S160</f>
        <v>0</v>
      </c>
      <c r="S121" s="247">
        <f>'Calcul R84'!T160</f>
        <v>0</v>
      </c>
      <c r="T121" s="247">
        <f>'Calcul R84'!U160</f>
        <v>0</v>
      </c>
      <c r="U121" s="247">
        <f>'Calcul R84'!V160</f>
        <v>0</v>
      </c>
      <c r="V121" s="247">
        <f>'Calcul R84'!W160</f>
        <v>432.33333333333331</v>
      </c>
      <c r="W121" s="247">
        <f>'Calcul R84'!X160</f>
        <v>432.33333333333331</v>
      </c>
    </row>
    <row r="122" spans="1:67" x14ac:dyDescent="0.3">
      <c r="A122" s="468" t="s">
        <v>503</v>
      </c>
      <c r="B122" s="440">
        <f>'Calcul R84'!C162</f>
        <v>44</v>
      </c>
      <c r="C122" s="253">
        <f>'Calcul R84'!D162</f>
        <v>44</v>
      </c>
      <c r="D122" s="253">
        <f>'Calcul R84'!E162</f>
        <v>52.3</v>
      </c>
      <c r="E122" s="253">
        <f>'Calcul R84'!F162</f>
        <v>49.3</v>
      </c>
      <c r="F122" s="253">
        <f>'Calcul R84'!G162</f>
        <v>44</v>
      </c>
      <c r="G122" s="253">
        <f>'Calcul R84'!H162</f>
        <v>39.299999999999997</v>
      </c>
      <c r="H122" s="253">
        <f>'Calcul R84'!I162</f>
        <v>40.1</v>
      </c>
      <c r="I122" s="253">
        <f>'Calcul R84'!J162</f>
        <v>34.6</v>
      </c>
      <c r="J122" s="253">
        <f>'Calcul R84'!K162</f>
        <v>34.700000000000003</v>
      </c>
      <c r="K122" s="253">
        <f>'Calcul R84'!L162</f>
        <v>35.799999999999997</v>
      </c>
      <c r="L122" s="253">
        <f>'Calcul R84'!M162</f>
        <v>38</v>
      </c>
      <c r="M122" s="253">
        <f>'Calcul R84'!N162</f>
        <v>37.5</v>
      </c>
      <c r="N122" s="253">
        <f>'Calcul R84'!O162</f>
        <v>37.6</v>
      </c>
      <c r="O122" s="253">
        <f>'Calcul R84'!P162</f>
        <v>36.1</v>
      </c>
      <c r="P122" s="253">
        <f>'Calcul R84'!Q162</f>
        <v>0</v>
      </c>
      <c r="Q122" s="253">
        <f>'Calcul R84'!R162</f>
        <v>0</v>
      </c>
      <c r="R122" s="253">
        <f>'Calcul R84'!S162</f>
        <v>0</v>
      </c>
      <c r="S122" s="253">
        <f>'Calcul R84'!T162</f>
        <v>0</v>
      </c>
      <c r="T122" s="253">
        <f>'Calcul R84'!U162</f>
        <v>0</v>
      </c>
      <c r="U122" s="253">
        <f>'Calcul R84'!V162</f>
        <v>0</v>
      </c>
      <c r="V122" s="253">
        <f>'Calcul R84'!W162</f>
        <v>36.299999999999997</v>
      </c>
      <c r="W122" s="253">
        <f>'Calcul R84'!X162</f>
        <v>36.299999999999997</v>
      </c>
    </row>
    <row r="123" spans="1:67" x14ac:dyDescent="0.3">
      <c r="A123" s="468" t="s">
        <v>504</v>
      </c>
      <c r="B123" s="58">
        <f t="shared" ref="B123:W123" si="19">B122*B121</f>
        <v>14476</v>
      </c>
      <c r="C123" s="53">
        <f t="shared" si="19"/>
        <v>14564</v>
      </c>
      <c r="D123" s="53">
        <f t="shared" si="19"/>
        <v>17311.3</v>
      </c>
      <c r="E123" s="53">
        <f t="shared" si="19"/>
        <v>16515.5</v>
      </c>
      <c r="F123" s="53">
        <f t="shared" si="19"/>
        <v>14784</v>
      </c>
      <c r="G123" s="53">
        <f t="shared" si="19"/>
        <v>13361.999999999998</v>
      </c>
      <c r="H123" s="53">
        <f t="shared" si="19"/>
        <v>15518.7</v>
      </c>
      <c r="I123" s="53">
        <f t="shared" si="19"/>
        <v>13528.6</v>
      </c>
      <c r="J123" s="53">
        <f t="shared" si="19"/>
        <v>13949.400000000001</v>
      </c>
      <c r="K123" s="53">
        <f t="shared" si="19"/>
        <v>14964.4</v>
      </c>
      <c r="L123" s="53">
        <f t="shared" si="19"/>
        <v>16340</v>
      </c>
      <c r="M123" s="53">
        <f t="shared" si="19"/>
        <v>16125</v>
      </c>
      <c r="N123" s="53">
        <f t="shared" si="19"/>
        <v>15904.800000000001</v>
      </c>
      <c r="O123" s="53">
        <f t="shared" si="19"/>
        <v>16028.400000000001</v>
      </c>
      <c r="P123" s="53">
        <f t="shared" si="19"/>
        <v>0</v>
      </c>
      <c r="Q123" s="53">
        <f t="shared" si="19"/>
        <v>0</v>
      </c>
      <c r="R123" s="53">
        <f t="shared" si="19"/>
        <v>0</v>
      </c>
      <c r="S123" s="53">
        <f t="shared" si="19"/>
        <v>0</v>
      </c>
      <c r="T123" s="53">
        <f t="shared" si="19"/>
        <v>0</v>
      </c>
      <c r="U123" s="53">
        <f t="shared" si="19"/>
        <v>0</v>
      </c>
      <c r="V123" s="53">
        <f t="shared" si="19"/>
        <v>15693.699999999999</v>
      </c>
      <c r="W123" s="53">
        <f t="shared" si="19"/>
        <v>15693.699999999999</v>
      </c>
    </row>
    <row r="124" spans="1:67" x14ac:dyDescent="0.3">
      <c r="A124" s="502" t="s">
        <v>422</v>
      </c>
      <c r="B124" s="463">
        <f>B123/('Calcul Fr métro'!C197*'Calcul Fr métro'!C199)</f>
        <v>2.3269836386173189E-2</v>
      </c>
      <c r="C124" s="496">
        <f>C123/('Calcul Fr métro'!D197*'Calcul Fr métro'!D199)</f>
        <v>2.3153042501189925E-2</v>
      </c>
      <c r="D124" s="496">
        <f>D123/('Calcul Fr métro'!E197*'Calcul Fr métro'!E199)</f>
        <v>3.1319348331478918E-2</v>
      </c>
      <c r="E124" s="496">
        <f>E123/('Calcul Fr métro'!F197*'Calcul Fr métro'!F199)</f>
        <v>2.8392134129904999E-2</v>
      </c>
      <c r="F124" s="496">
        <f>F123/('Calcul Fr métro'!G197*'Calcul Fr métro'!G199)</f>
        <v>2.6094047295460724E-2</v>
      </c>
      <c r="G124" s="496">
        <f>G123/('Calcul Fr métro'!H197*'Calcul Fr métro'!H199)</f>
        <v>2.2600670408750422E-2</v>
      </c>
      <c r="H124" s="496">
        <f>H123/('Calcul Fr métro'!I197*'Calcul Fr métro'!I199)</f>
        <v>2.614850765784103E-2</v>
      </c>
      <c r="I124" s="496">
        <f>I123/('Calcul Fr métro'!J197*'Calcul Fr métro'!J199)</f>
        <v>2.1680083908844482E-2</v>
      </c>
      <c r="J124" s="496">
        <f>J123/('Calcul Fr métro'!K197*'Calcul Fr métro'!K199)</f>
        <v>2.3994530043905862E-2</v>
      </c>
      <c r="K124" s="496">
        <f>K123/('Calcul Fr métro'!L197*'Calcul Fr métro'!L199)</f>
        <v>2.4068868191888276E-2</v>
      </c>
      <c r="L124" s="496">
        <f>L123/('Calcul Fr métro'!M197*'Calcul Fr métro'!M199)</f>
        <v>2.5196312271436757E-2</v>
      </c>
      <c r="M124" s="496">
        <f>M123/('Calcul Fr métro'!N197*'Calcul Fr métro'!N199)</f>
        <v>2.2850170898022343E-2</v>
      </c>
      <c r="N124" s="496">
        <f>N123/('Calcul Fr métro'!O197*'Calcul Fr métro'!O199)</f>
        <v>2.5809659441277544E-2</v>
      </c>
      <c r="O124" s="496">
        <f>O123/('Calcul Fr métro'!P197*'Calcul Fr métro'!P199)</f>
        <v>2.5574233151152589E-2</v>
      </c>
      <c r="P124" s="479"/>
      <c r="Q124" s="479"/>
      <c r="R124" s="479"/>
      <c r="S124" s="479"/>
      <c r="T124" s="479"/>
      <c r="U124" s="479"/>
      <c r="V124" s="496">
        <f>V123/('Calcul Fr métro'!W197*'Calcul Fr métro'!W199)</f>
        <v>2.4504228785621276E-2</v>
      </c>
      <c r="W124" s="486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</row>
    <row r="125" spans="1:67" x14ac:dyDescent="0.3">
      <c r="A125" s="469" t="s">
        <v>505</v>
      </c>
      <c r="B125" s="233">
        <f>'Calcul R84'!C168</f>
        <v>7553</v>
      </c>
      <c r="C125" s="247">
        <f>'Calcul R84'!D168</f>
        <v>7152</v>
      </c>
      <c r="D125" s="247">
        <f>'Calcul R84'!E168</f>
        <v>6770</v>
      </c>
      <c r="E125" s="247">
        <f>'Calcul R84'!F168</f>
        <v>6408</v>
      </c>
      <c r="F125" s="247">
        <f>'Calcul R84'!G168</f>
        <v>6395</v>
      </c>
      <c r="G125" s="247">
        <f>'Calcul R84'!H168</f>
        <v>6192</v>
      </c>
      <c r="H125" s="247">
        <f>'Calcul R84'!I168</f>
        <v>6230</v>
      </c>
      <c r="I125" s="247">
        <f>'Calcul R84'!J168</f>
        <v>6217</v>
      </c>
      <c r="J125" s="247">
        <f>'Calcul R84'!K168</f>
        <v>6204</v>
      </c>
      <c r="K125" s="247">
        <f>'Calcul R84'!L168</f>
        <v>6191</v>
      </c>
      <c r="L125" s="247">
        <f>'Calcul R84'!M168</f>
        <v>6129</v>
      </c>
      <c r="M125" s="247">
        <f>'Calcul R84'!N168</f>
        <v>6129</v>
      </c>
      <c r="N125" s="247">
        <f>'Calcul R84'!O168</f>
        <v>5802</v>
      </c>
      <c r="O125" s="247">
        <f>'Calcul R84'!P168</f>
        <v>5502</v>
      </c>
      <c r="P125" s="247">
        <f>'Calcul R84'!Q168</f>
        <v>0</v>
      </c>
      <c r="Q125" s="247">
        <f>'Calcul R84'!R168</f>
        <v>0</v>
      </c>
      <c r="R125" s="247">
        <f>'Calcul R84'!S168</f>
        <v>0</v>
      </c>
      <c r="S125" s="247">
        <f>'Calcul R84'!T168</f>
        <v>0</v>
      </c>
      <c r="T125" s="247">
        <f>'Calcul R84'!U168</f>
        <v>0</v>
      </c>
      <c r="U125" s="247">
        <f>'Calcul R84'!V168</f>
        <v>0</v>
      </c>
      <c r="V125" s="247">
        <f>'Calcul R84'!W168</f>
        <v>5811</v>
      </c>
      <c r="W125" s="438">
        <f>'Calcul R84'!X168</f>
        <v>5811</v>
      </c>
    </row>
    <row r="126" spans="1:67" x14ac:dyDescent="0.3">
      <c r="A126" s="470" t="s">
        <v>506</v>
      </c>
      <c r="B126" s="440">
        <f>'Calcul R84'!C170</f>
        <v>10.5</v>
      </c>
      <c r="C126" s="253">
        <f>'Calcul R84'!D170</f>
        <v>12.5</v>
      </c>
      <c r="D126" s="253">
        <f>'Calcul R84'!E170</f>
        <v>14.5</v>
      </c>
      <c r="E126" s="253">
        <f>'Calcul R84'!F170</f>
        <v>11</v>
      </c>
      <c r="F126" s="253">
        <f>'Calcul R84'!G170</f>
        <v>16</v>
      </c>
      <c r="G126" s="253">
        <f>'Calcul R84'!H170</f>
        <v>15</v>
      </c>
      <c r="H126" s="253">
        <f>'Calcul R84'!I170</f>
        <v>8</v>
      </c>
      <c r="I126" s="253">
        <f>'Calcul R84'!J170</f>
        <v>14</v>
      </c>
      <c r="J126" s="253">
        <f>'Calcul R84'!K170</f>
        <v>8</v>
      </c>
      <c r="K126" s="253">
        <f>'Calcul R84'!L170</f>
        <v>10.5</v>
      </c>
      <c r="L126" s="253">
        <f>'Calcul R84'!M170</f>
        <v>6</v>
      </c>
      <c r="M126" s="253">
        <f>'Calcul R84'!N170</f>
        <v>2.5</v>
      </c>
      <c r="N126" s="253">
        <f>'Calcul R84'!O170</f>
        <v>10.9</v>
      </c>
      <c r="O126" s="253">
        <f>'Calcul R84'!P170</f>
        <v>11.8</v>
      </c>
      <c r="P126" s="253">
        <f>'Calcul R84'!Q170</f>
        <v>0</v>
      </c>
      <c r="Q126" s="253">
        <f>'Calcul R84'!R170</f>
        <v>0</v>
      </c>
      <c r="R126" s="253">
        <f>'Calcul R84'!S170</f>
        <v>0</v>
      </c>
      <c r="S126" s="253">
        <f>'Calcul R84'!T170</f>
        <v>0</v>
      </c>
      <c r="T126" s="253">
        <f>'Calcul R84'!U170</f>
        <v>0</v>
      </c>
      <c r="U126" s="253">
        <f>'Calcul R84'!V170</f>
        <v>0</v>
      </c>
      <c r="V126" s="253">
        <f>'Calcul R84'!W170</f>
        <v>7.5</v>
      </c>
      <c r="W126" s="245">
        <f>'Calcul R84'!X170</f>
        <v>7.5</v>
      </c>
    </row>
    <row r="127" spans="1:67" x14ac:dyDescent="0.3">
      <c r="A127" s="470" t="s">
        <v>507</v>
      </c>
      <c r="B127" s="58">
        <f t="shared" ref="B127:W127" si="20">B126*B125</f>
        <v>79306.5</v>
      </c>
      <c r="C127" s="53">
        <f t="shared" si="20"/>
        <v>89400</v>
      </c>
      <c r="D127" s="53">
        <f t="shared" si="20"/>
        <v>98165</v>
      </c>
      <c r="E127" s="53">
        <f t="shared" si="20"/>
        <v>70488</v>
      </c>
      <c r="F127" s="53">
        <f t="shared" si="20"/>
        <v>102320</v>
      </c>
      <c r="G127" s="53">
        <f t="shared" si="20"/>
        <v>92880</v>
      </c>
      <c r="H127" s="53">
        <f t="shared" si="20"/>
        <v>49840</v>
      </c>
      <c r="I127" s="53">
        <f t="shared" si="20"/>
        <v>87038</v>
      </c>
      <c r="J127" s="53">
        <f t="shared" si="20"/>
        <v>49632</v>
      </c>
      <c r="K127" s="53">
        <f t="shared" si="20"/>
        <v>65005.5</v>
      </c>
      <c r="L127" s="53">
        <f t="shared" si="20"/>
        <v>36774</v>
      </c>
      <c r="M127" s="53">
        <f t="shared" si="20"/>
        <v>15322.5</v>
      </c>
      <c r="N127" s="53">
        <f t="shared" si="20"/>
        <v>63241.8</v>
      </c>
      <c r="O127" s="53">
        <f t="shared" si="20"/>
        <v>64923.600000000006</v>
      </c>
      <c r="P127" s="53">
        <f t="shared" si="20"/>
        <v>0</v>
      </c>
      <c r="Q127" s="53">
        <f t="shared" si="20"/>
        <v>0</v>
      </c>
      <c r="R127" s="53">
        <f t="shared" si="20"/>
        <v>0</v>
      </c>
      <c r="S127" s="53">
        <f t="shared" si="20"/>
        <v>0</v>
      </c>
      <c r="T127" s="53">
        <f t="shared" si="20"/>
        <v>0</v>
      </c>
      <c r="U127" s="53">
        <f t="shared" si="20"/>
        <v>0</v>
      </c>
      <c r="V127" s="53">
        <f t="shared" si="20"/>
        <v>43582.5</v>
      </c>
      <c r="W127" s="210">
        <f t="shared" si="20"/>
        <v>43582.5</v>
      </c>
    </row>
    <row r="128" spans="1:67" x14ac:dyDescent="0.3">
      <c r="A128" s="503" t="s">
        <v>422</v>
      </c>
      <c r="B128" s="463">
        <f>B127/('Calcul Fr métro'!C204*'Calcul Fr métro'!C206)</f>
        <v>0.55270167427701666</v>
      </c>
      <c r="C128" s="496">
        <f>C127/('Calcul Fr métro'!D204*'Calcul Fr métro'!D206)</f>
        <v>0.600567516149489</v>
      </c>
      <c r="D128" s="496">
        <f>D127/('Calcul Fr métro'!E204*'Calcul Fr métro'!E206)</f>
        <v>0.56260430803653305</v>
      </c>
      <c r="E128" s="496">
        <f>E127/('Calcul Fr métro'!F204*'Calcul Fr métro'!F206)</f>
        <v>0.55416401330220055</v>
      </c>
      <c r="F128" s="496">
        <f>F127/('Calcul Fr métro'!G204*'Calcul Fr métro'!G206)</f>
        <v>0.59124481534000617</v>
      </c>
      <c r="G128" s="496">
        <f>G127/('Calcul Fr métro'!H204*'Calcul Fr métro'!H206)</f>
        <v>0.59148988200770314</v>
      </c>
      <c r="H128" s="496">
        <f>H127/('Calcul Fr métro'!I204*'Calcul Fr métro'!I206)</f>
        <v>0.44433627269266535</v>
      </c>
      <c r="I128" s="496">
        <f>I127/('Calcul Fr métro'!J204*'Calcul Fr métro'!J206)</f>
        <v>0.5554825163221413</v>
      </c>
      <c r="J128" s="496">
        <f>J127/('Calcul Fr métro'!K204*'Calcul Fr métro'!K206)</f>
        <v>0.44559202186302571</v>
      </c>
      <c r="K128" s="496">
        <f>K127/('Calcul Fr métro'!L204*'Calcul Fr métro'!L206)</f>
        <v>0.47456683014719087</v>
      </c>
      <c r="L128" s="496">
        <f>L127/('Calcul Fr métro'!M204*'Calcul Fr métro'!M206)</f>
        <v>0.42861938263143912</v>
      </c>
      <c r="M128" s="496">
        <f>M127/('Calcul Fr métro'!N204*'Calcul Fr métro'!N206)</f>
        <v>0.28033818051418663</v>
      </c>
      <c r="N128" s="496">
        <f>N127/('Calcul Fr métro'!O204*'Calcul Fr métro'!O206)</f>
        <v>0.49270353631715363</v>
      </c>
      <c r="O128" s="496">
        <f>O127/('Calcul Fr métro'!P204*'Calcul Fr métro'!P206)</f>
        <v>0.50764593424895321</v>
      </c>
      <c r="P128" s="479"/>
      <c r="Q128" s="479"/>
      <c r="R128" s="479"/>
      <c r="S128" s="479"/>
      <c r="T128" s="479"/>
      <c r="U128" s="479"/>
      <c r="V128" s="496">
        <f>V127/('Calcul Fr métro'!W204*'Calcul Fr métro'!W206)</f>
        <v>0.4153932990362818</v>
      </c>
      <c r="W128" s="486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</row>
    <row r="129" spans="1:67" x14ac:dyDescent="0.3">
      <c r="A129" s="469" t="s">
        <v>508</v>
      </c>
      <c r="B129" s="233">
        <f>'Calcul R84'!C175</f>
        <v>2749</v>
      </c>
      <c r="C129" s="247">
        <f>'Calcul R84'!D175</f>
        <v>2736</v>
      </c>
      <c r="D129" s="247">
        <f>'Calcul R84'!E175</f>
        <v>2623</v>
      </c>
      <c r="E129" s="247">
        <f>'Calcul R84'!F175</f>
        <v>2575</v>
      </c>
      <c r="F129" s="247">
        <f>'Calcul R84'!G175</f>
        <v>2576</v>
      </c>
      <c r="G129" s="247">
        <f>'Calcul R84'!H175</f>
        <v>2478</v>
      </c>
      <c r="H129" s="247">
        <f>'Calcul R84'!I175</f>
        <v>2393</v>
      </c>
      <c r="I129" s="247">
        <f>'Calcul R84'!J175</f>
        <v>2393</v>
      </c>
      <c r="J129" s="247">
        <f>'Calcul R84'!K175</f>
        <v>2362</v>
      </c>
      <c r="K129" s="247">
        <f>'Calcul R84'!L175</f>
        <v>2363</v>
      </c>
      <c r="L129" s="247">
        <f>'Calcul R84'!M175</f>
        <v>2211</v>
      </c>
      <c r="M129" s="247">
        <f>'Calcul R84'!N175</f>
        <v>2211</v>
      </c>
      <c r="N129" s="247">
        <f>'Calcul R84'!O175</f>
        <v>2212</v>
      </c>
      <c r="O129" s="247">
        <f>'Calcul R84'!P175</f>
        <v>2101</v>
      </c>
      <c r="P129" s="247">
        <f>'Calcul R84'!Q175</f>
        <v>0</v>
      </c>
      <c r="Q129" s="247">
        <f>'Calcul R84'!R175</f>
        <v>0</v>
      </c>
      <c r="R129" s="247">
        <f>'Calcul R84'!S175</f>
        <v>0</v>
      </c>
      <c r="S129" s="247">
        <f>'Calcul R84'!T175</f>
        <v>0</v>
      </c>
      <c r="T129" s="247">
        <f>'Calcul R84'!U175</f>
        <v>0</v>
      </c>
      <c r="U129" s="247">
        <f>'Calcul R84'!V175</f>
        <v>0</v>
      </c>
      <c r="V129" s="247">
        <f>'Calcul R84'!W175</f>
        <v>2174.6666666666665</v>
      </c>
      <c r="W129" s="438">
        <f>'Calcul R84'!X175</f>
        <v>2174.6666666666665</v>
      </c>
    </row>
    <row r="130" spans="1:67" x14ac:dyDescent="0.3">
      <c r="A130" s="470" t="s">
        <v>509</v>
      </c>
      <c r="B130" s="440">
        <f>'Calcul R84'!C177</f>
        <v>21.7</v>
      </c>
      <c r="C130" s="253">
        <f>'Calcul R84'!D177</f>
        <v>22.8</v>
      </c>
      <c r="D130" s="253">
        <f>'Calcul R84'!E177</f>
        <v>21.8</v>
      </c>
      <c r="E130" s="253">
        <f>'Calcul R84'!F177</f>
        <v>21.1</v>
      </c>
      <c r="F130" s="253">
        <f>'Calcul R84'!G177</f>
        <v>22.1</v>
      </c>
      <c r="G130" s="253">
        <f>'Calcul R84'!H177</f>
        <v>23.1</v>
      </c>
      <c r="H130" s="253">
        <f>'Calcul R84'!I177</f>
        <v>21.1</v>
      </c>
      <c r="I130" s="253">
        <f>'Calcul R84'!J177</f>
        <v>23.7</v>
      </c>
      <c r="J130" s="253">
        <f>'Calcul R84'!K177</f>
        <v>22.5</v>
      </c>
      <c r="K130" s="253">
        <f>'Calcul R84'!L177</f>
        <v>21.5</v>
      </c>
      <c r="L130" s="253">
        <f>'Calcul R84'!M177</f>
        <v>19.600000000000001</v>
      </c>
      <c r="M130" s="253">
        <f>'Calcul R84'!N177</f>
        <v>8.6</v>
      </c>
      <c r="N130" s="253">
        <f>'Calcul R84'!O177</f>
        <v>18.8</v>
      </c>
      <c r="O130" s="253">
        <f>'Calcul R84'!P177</f>
        <v>17.100000000000001</v>
      </c>
      <c r="P130" s="253">
        <f>'Calcul R84'!Q177</f>
        <v>0</v>
      </c>
      <c r="Q130" s="253">
        <f>'Calcul R84'!R177</f>
        <v>0</v>
      </c>
      <c r="R130" s="253">
        <f>'Calcul R84'!S177</f>
        <v>0</v>
      </c>
      <c r="S130" s="253">
        <f>'Calcul R84'!T177</f>
        <v>0</v>
      </c>
      <c r="T130" s="253">
        <f>'Calcul R84'!U177</f>
        <v>0</v>
      </c>
      <c r="U130" s="253">
        <f>'Calcul R84'!V177</f>
        <v>0</v>
      </c>
      <c r="V130" s="253">
        <f>'Calcul R84'!W177</f>
        <v>15.4</v>
      </c>
      <c r="W130" s="245">
        <f>'Calcul R84'!X177</f>
        <v>15.4</v>
      </c>
    </row>
    <row r="131" spans="1:67" x14ac:dyDescent="0.3">
      <c r="A131" s="470" t="s">
        <v>510</v>
      </c>
      <c r="B131" s="58">
        <f t="shared" ref="B131:W131" si="21">B130*B129</f>
        <v>59653.299999999996</v>
      </c>
      <c r="C131" s="53">
        <f t="shared" si="21"/>
        <v>62380.800000000003</v>
      </c>
      <c r="D131" s="53">
        <f t="shared" si="21"/>
        <v>57181.4</v>
      </c>
      <c r="E131" s="53">
        <f t="shared" si="21"/>
        <v>54332.500000000007</v>
      </c>
      <c r="F131" s="53">
        <f t="shared" si="21"/>
        <v>56929.600000000006</v>
      </c>
      <c r="G131" s="53">
        <f t="shared" si="21"/>
        <v>57241.8</v>
      </c>
      <c r="H131" s="53">
        <f t="shared" si="21"/>
        <v>50492.3</v>
      </c>
      <c r="I131" s="53">
        <f t="shared" si="21"/>
        <v>56714.1</v>
      </c>
      <c r="J131" s="53">
        <f t="shared" si="21"/>
        <v>53145</v>
      </c>
      <c r="K131" s="53">
        <f t="shared" si="21"/>
        <v>50804.5</v>
      </c>
      <c r="L131" s="53">
        <f t="shared" si="21"/>
        <v>43335.600000000006</v>
      </c>
      <c r="M131" s="53">
        <f t="shared" si="21"/>
        <v>19014.599999999999</v>
      </c>
      <c r="N131" s="53">
        <f t="shared" si="21"/>
        <v>41585.599999999999</v>
      </c>
      <c r="O131" s="53">
        <f t="shared" si="21"/>
        <v>35927.100000000006</v>
      </c>
      <c r="P131" s="53">
        <f t="shared" si="21"/>
        <v>0</v>
      </c>
      <c r="Q131" s="53">
        <f t="shared" si="21"/>
        <v>0</v>
      </c>
      <c r="R131" s="53">
        <f t="shared" si="21"/>
        <v>0</v>
      </c>
      <c r="S131" s="53">
        <f t="shared" si="21"/>
        <v>0</v>
      </c>
      <c r="T131" s="53">
        <f t="shared" si="21"/>
        <v>0</v>
      </c>
      <c r="U131" s="53">
        <f t="shared" si="21"/>
        <v>0</v>
      </c>
      <c r="V131" s="53">
        <f t="shared" si="21"/>
        <v>33489.866666666669</v>
      </c>
      <c r="W131" s="210">
        <f t="shared" si="21"/>
        <v>33489.866666666669</v>
      </c>
    </row>
    <row r="132" spans="1:67" x14ac:dyDescent="0.3">
      <c r="A132" s="503" t="s">
        <v>422</v>
      </c>
      <c r="B132" s="463">
        <f>B131/('Calcul Fr métro'!C211*'Calcul Fr métro'!C213)</f>
        <v>0.19834648365934834</v>
      </c>
      <c r="C132" s="496">
        <f>C131/('Calcul Fr métro'!D211*'Calcul Fr métro'!D213)</f>
        <v>0.21676686532653786</v>
      </c>
      <c r="D132" s="496">
        <f>D131/('Calcul Fr métro'!E211*'Calcul Fr métro'!E213)</f>
        <v>0.20835969041962427</v>
      </c>
      <c r="E132" s="496">
        <f>E131/('Calcul Fr métro'!F211*'Calcul Fr métro'!F213)</f>
        <v>0.22181528246364082</v>
      </c>
      <c r="F132" s="496">
        <f>F131/('Calcul Fr métro'!G211*'Calcul Fr métro'!G213)</f>
        <v>0.21567869747790916</v>
      </c>
      <c r="G132" s="496">
        <f>G131/('Calcul Fr métro'!H211*'Calcul Fr métro'!H213)</f>
        <v>0.22442484121383205</v>
      </c>
      <c r="H132" s="496">
        <f>H131/('Calcul Fr métro'!I211*'Calcul Fr métro'!I213)</f>
        <v>0.2000817091882022</v>
      </c>
      <c r="I132" s="496">
        <f>I131/('Calcul Fr métro'!J211*'Calcul Fr métro'!J213)</f>
        <v>0.20703571189984152</v>
      </c>
      <c r="J132" s="496">
        <f>J131/('Calcul Fr métro'!K211*'Calcul Fr métro'!K213)</f>
        <v>0.22829373149100357</v>
      </c>
      <c r="K132" s="496">
        <f>K131/('Calcul Fr métro'!L211*'Calcul Fr métro'!L213)</f>
        <v>0.19640965569498892</v>
      </c>
      <c r="L132" s="496">
        <f>L131/('Calcul Fr métro'!M211*'Calcul Fr métro'!M213)</f>
        <v>0.18614548656601021</v>
      </c>
      <c r="M132" s="496">
        <f>M131/('Calcul Fr métro'!N211*'Calcul Fr métro'!N213)</f>
        <v>0.11025832825954596</v>
      </c>
      <c r="N132" s="496">
        <f>N131/('Calcul Fr métro'!O211*'Calcul Fr métro'!O213)</f>
        <v>0.18006586804049074</v>
      </c>
      <c r="O132" s="496">
        <f>O131/('Calcul Fr métro'!P211*'Calcul Fr métro'!P213)</f>
        <v>0.16119481335247671</v>
      </c>
      <c r="P132" s="479"/>
      <c r="Q132" s="479"/>
      <c r="R132" s="479"/>
      <c r="S132" s="479"/>
      <c r="T132" s="479"/>
      <c r="U132" s="479"/>
      <c r="V132" s="496">
        <f>V131/('Calcul Fr métro'!W211*'Calcul Fr métro'!W213)</f>
        <v>0.15003734895030188</v>
      </c>
      <c r="W132" s="486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</row>
    <row r="133" spans="1:67" x14ac:dyDescent="0.3">
      <c r="A133" s="469" t="s">
        <v>511</v>
      </c>
      <c r="B133" s="233">
        <f>'Calcul R84'!C182</f>
        <v>3587</v>
      </c>
      <c r="C133" s="247">
        <f>'Calcul R84'!D182</f>
        <v>3506</v>
      </c>
      <c r="D133" s="247">
        <f>'Calcul R84'!E182</f>
        <v>3430</v>
      </c>
      <c r="E133" s="247">
        <f>'Calcul R84'!F182</f>
        <v>3349</v>
      </c>
      <c r="F133" s="247">
        <f>'Calcul R84'!G182</f>
        <v>3354</v>
      </c>
      <c r="G133" s="247">
        <f>'Calcul R84'!H182</f>
        <v>3363</v>
      </c>
      <c r="H133" s="247">
        <f>'Calcul R84'!I182</f>
        <v>3375</v>
      </c>
      <c r="I133" s="247">
        <f>'Calcul R84'!J182</f>
        <v>3387</v>
      </c>
      <c r="J133" s="247">
        <f>'Calcul R84'!K182</f>
        <v>3397</v>
      </c>
      <c r="K133" s="247">
        <f>'Calcul R84'!L182</f>
        <v>3274</v>
      </c>
      <c r="L133" s="247">
        <f>'Calcul R84'!M182</f>
        <v>3416</v>
      </c>
      <c r="M133" s="247">
        <f>'Calcul R84'!N182</f>
        <v>3414</v>
      </c>
      <c r="N133" s="247">
        <f>'Calcul R84'!O182</f>
        <v>3414</v>
      </c>
      <c r="O133" s="247">
        <f>'Calcul R84'!P182</f>
        <v>3409</v>
      </c>
      <c r="P133" s="247">
        <f>'Calcul R84'!Q182</f>
        <v>0</v>
      </c>
      <c r="Q133" s="247">
        <f>'Calcul R84'!R182</f>
        <v>0</v>
      </c>
      <c r="R133" s="247">
        <f>'Calcul R84'!S182</f>
        <v>0</v>
      </c>
      <c r="S133" s="247">
        <f>'Calcul R84'!T182</f>
        <v>0</v>
      </c>
      <c r="T133" s="247">
        <f>'Calcul R84'!U182</f>
        <v>0</v>
      </c>
      <c r="U133" s="247">
        <f>'Calcul R84'!V182</f>
        <v>0</v>
      </c>
      <c r="V133" s="247">
        <f>'Calcul R84'!W182</f>
        <v>3412.3333333333335</v>
      </c>
      <c r="W133" s="438">
        <f>'Calcul R84'!X182</f>
        <v>3412.3333333333335</v>
      </c>
    </row>
    <row r="134" spans="1:67" x14ac:dyDescent="0.3">
      <c r="A134" s="470" t="s">
        <v>512</v>
      </c>
      <c r="B134" s="440">
        <f>'Calcul R84'!C184</f>
        <v>33.4</v>
      </c>
      <c r="C134" s="253">
        <f>'Calcul R84'!D184</f>
        <v>36.200000000000003</v>
      </c>
      <c r="D134" s="253">
        <f>'Calcul R84'!E184</f>
        <v>29.7</v>
      </c>
      <c r="E134" s="253">
        <f>'Calcul R84'!F184</f>
        <v>31.1</v>
      </c>
      <c r="F134" s="253">
        <f>'Calcul R84'!G184</f>
        <v>35.5</v>
      </c>
      <c r="G134" s="253">
        <f>'Calcul R84'!H184</f>
        <v>34.6</v>
      </c>
      <c r="H134" s="253">
        <f>'Calcul R84'!I184</f>
        <v>32.4</v>
      </c>
      <c r="I134" s="253">
        <f>'Calcul R84'!J184</f>
        <v>28.5</v>
      </c>
      <c r="J134" s="253">
        <f>'Calcul R84'!K184</f>
        <v>31.9</v>
      </c>
      <c r="K134" s="253">
        <f>'Calcul R84'!L184</f>
        <v>33.299999999999997</v>
      </c>
      <c r="L134" s="253">
        <f>'Calcul R84'!M184</f>
        <v>30.8</v>
      </c>
      <c r="M134" s="253">
        <f>'Calcul R84'!N184</f>
        <v>20.100000000000001</v>
      </c>
      <c r="N134" s="253">
        <f>'Calcul R84'!O184</f>
        <v>29</v>
      </c>
      <c r="O134" s="253">
        <f>'Calcul R84'!P184</f>
        <v>30.5</v>
      </c>
      <c r="P134" s="253">
        <f>'Calcul R84'!Q184</f>
        <v>0</v>
      </c>
      <c r="Q134" s="253">
        <f>'Calcul R84'!R184</f>
        <v>0</v>
      </c>
      <c r="R134" s="253">
        <f>'Calcul R84'!S184</f>
        <v>0</v>
      </c>
      <c r="S134" s="253">
        <f>'Calcul R84'!T184</f>
        <v>0</v>
      </c>
      <c r="T134" s="253">
        <f>'Calcul R84'!U184</f>
        <v>0</v>
      </c>
      <c r="U134" s="253">
        <f>'Calcul R84'!V184</f>
        <v>0</v>
      </c>
      <c r="V134" s="253">
        <f>'Calcul R84'!W184</f>
        <v>25.9</v>
      </c>
      <c r="W134" s="245">
        <f>'Calcul R84'!X184</f>
        <v>25.9</v>
      </c>
    </row>
    <row r="135" spans="1:67" x14ac:dyDescent="0.3">
      <c r="A135" s="470" t="s">
        <v>513</v>
      </c>
      <c r="B135" s="58">
        <f t="shared" ref="B135:W135" si="22">B134*B133</f>
        <v>119805.79999999999</v>
      </c>
      <c r="C135" s="53">
        <f t="shared" si="22"/>
        <v>126917.20000000001</v>
      </c>
      <c r="D135" s="53">
        <f t="shared" si="22"/>
        <v>101871</v>
      </c>
      <c r="E135" s="53">
        <f t="shared" si="22"/>
        <v>104153.90000000001</v>
      </c>
      <c r="F135" s="53">
        <f t="shared" si="22"/>
        <v>119067</v>
      </c>
      <c r="G135" s="53">
        <f t="shared" si="22"/>
        <v>116359.8</v>
      </c>
      <c r="H135" s="53">
        <f t="shared" si="22"/>
        <v>109350</v>
      </c>
      <c r="I135" s="53">
        <f t="shared" si="22"/>
        <v>96529.5</v>
      </c>
      <c r="J135" s="53">
        <f t="shared" si="22"/>
        <v>108364.29999999999</v>
      </c>
      <c r="K135" s="53">
        <f t="shared" si="22"/>
        <v>109024.2</v>
      </c>
      <c r="L135" s="53">
        <f t="shared" si="22"/>
        <v>105212.8</v>
      </c>
      <c r="M135" s="53">
        <f t="shared" si="22"/>
        <v>68621.400000000009</v>
      </c>
      <c r="N135" s="53">
        <f t="shared" si="22"/>
        <v>99006</v>
      </c>
      <c r="O135" s="53">
        <f t="shared" si="22"/>
        <v>103974.5</v>
      </c>
      <c r="P135" s="53">
        <f t="shared" si="22"/>
        <v>0</v>
      </c>
      <c r="Q135" s="53">
        <f t="shared" si="22"/>
        <v>0</v>
      </c>
      <c r="R135" s="53">
        <f t="shared" si="22"/>
        <v>0</v>
      </c>
      <c r="S135" s="53">
        <f t="shared" si="22"/>
        <v>0</v>
      </c>
      <c r="T135" s="53">
        <f t="shared" si="22"/>
        <v>0</v>
      </c>
      <c r="U135" s="53">
        <f t="shared" si="22"/>
        <v>0</v>
      </c>
      <c r="V135" s="53">
        <f t="shared" si="22"/>
        <v>88379.433333333334</v>
      </c>
      <c r="W135" s="210">
        <f t="shared" si="22"/>
        <v>88379.433333333334</v>
      </c>
    </row>
    <row r="136" spans="1:67" x14ac:dyDescent="0.3">
      <c r="A136" s="503" t="s">
        <v>422</v>
      </c>
      <c r="B136" s="463">
        <f>B135/('Calcul Fr métro'!C218*'Calcul Fr métro'!C220)</f>
        <v>6.7638242798357853E-2</v>
      </c>
      <c r="C136" s="496">
        <f>C135/('Calcul Fr métro'!D218*'Calcul Fr métro'!D220)</f>
        <v>7.0825188005903872E-2</v>
      </c>
      <c r="D136" s="496">
        <f>D135/('Calcul Fr métro'!E218*'Calcul Fr métro'!E220)</f>
        <v>7.6014965555940256E-2</v>
      </c>
      <c r="E136" s="496">
        <f>E135/('Calcul Fr métro'!F218*'Calcul Fr métro'!F220)</f>
        <v>5.9904524448355499E-2</v>
      </c>
      <c r="F136" s="496">
        <f>F135/('Calcul Fr métro'!G218*'Calcul Fr métro'!G220)</f>
        <v>7.521548481192622E-2</v>
      </c>
      <c r="G136" s="496">
        <f>G135/('Calcul Fr métro'!H218*'Calcul Fr métro'!H220)</f>
        <v>6.9920990827090551E-2</v>
      </c>
      <c r="H136" s="496">
        <f>H135/('Calcul Fr métro'!I218*'Calcul Fr métro'!I220)</f>
        <v>6.9264096684697921E-2</v>
      </c>
      <c r="I136" s="496">
        <f>I135/('Calcul Fr métro'!J218*'Calcul Fr métro'!J220)</f>
        <v>6.3440576482174535E-2</v>
      </c>
      <c r="J136" s="496">
        <f>J135/('Calcul Fr métro'!K218*'Calcul Fr métro'!K220)</f>
        <v>7.0566838392463166E-2</v>
      </c>
      <c r="K136" s="496">
        <f>K135/('Calcul Fr métro'!L218*'Calcul Fr métro'!L220)</f>
        <v>6.709734420577794E-2</v>
      </c>
      <c r="L136" s="496">
        <f>L135/('Calcul Fr métro'!M218*'Calcul Fr métro'!M220)</f>
        <v>7.4097205114564149E-2</v>
      </c>
      <c r="M136" s="496">
        <f>M135/('Calcul Fr métro'!N218*'Calcul Fr métro'!N220)</f>
        <v>5.2015617101312646E-2</v>
      </c>
      <c r="N136" s="496">
        <f>N135/('Calcul Fr métro'!O218*'Calcul Fr métro'!O220)</f>
        <v>6.8391714327852085E-2</v>
      </c>
      <c r="O136" s="496">
        <f>O135/('Calcul Fr métro'!P218*'Calcul Fr métro'!P220)</f>
        <v>6.5562239499586977E-2</v>
      </c>
      <c r="P136" s="479"/>
      <c r="Q136" s="479"/>
      <c r="R136" s="479"/>
      <c r="S136" s="479"/>
      <c r="T136" s="479"/>
      <c r="U136" s="479"/>
      <c r="V136" s="496">
        <f>V135/('Calcul Fr métro'!W218*'Calcul Fr métro'!W220)</f>
        <v>6.0043678308104038E-2</v>
      </c>
      <c r="W136" s="486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</row>
    <row r="137" spans="1:67" x14ac:dyDescent="0.3">
      <c r="A137" s="469" t="s">
        <v>514</v>
      </c>
      <c r="B137" s="233">
        <f>'Calcul R84'!C189</f>
        <v>1099</v>
      </c>
      <c r="C137" s="247">
        <f>'Calcul R84'!D189</f>
        <v>1054</v>
      </c>
      <c r="D137" s="247">
        <f>'Calcul R84'!E189</f>
        <v>1015</v>
      </c>
      <c r="E137" s="247">
        <f>'Calcul R84'!F189</f>
        <v>973</v>
      </c>
      <c r="F137" s="247">
        <f>'Calcul R84'!G189</f>
        <v>978</v>
      </c>
      <c r="G137" s="247">
        <f>'Calcul R84'!H189</f>
        <v>990</v>
      </c>
      <c r="H137" s="247">
        <f>'Calcul R84'!I189</f>
        <v>991</v>
      </c>
      <c r="I137" s="247">
        <f>'Calcul R84'!J189</f>
        <v>997</v>
      </c>
      <c r="J137" s="247">
        <f>'Calcul R84'!K189</f>
        <v>998</v>
      </c>
      <c r="K137" s="247">
        <f>'Calcul R84'!L189</f>
        <v>993</v>
      </c>
      <c r="L137" s="247">
        <f>'Calcul R84'!M189</f>
        <v>1027</v>
      </c>
      <c r="M137" s="247">
        <f>'Calcul R84'!N189</f>
        <v>1027</v>
      </c>
      <c r="N137" s="247">
        <f>'Calcul R84'!O189</f>
        <v>1027</v>
      </c>
      <c r="O137" s="247">
        <f>'Calcul R84'!P189</f>
        <v>1030</v>
      </c>
      <c r="P137" s="247">
        <f>'Calcul R84'!Q189</f>
        <v>0</v>
      </c>
      <c r="Q137" s="247">
        <f>'Calcul R84'!R189</f>
        <v>0</v>
      </c>
      <c r="R137" s="247">
        <f>'Calcul R84'!S189</f>
        <v>0</v>
      </c>
      <c r="S137" s="247">
        <f>'Calcul R84'!T189</f>
        <v>0</v>
      </c>
      <c r="T137" s="247">
        <f>'Calcul R84'!U189</f>
        <v>0</v>
      </c>
      <c r="U137" s="247">
        <f>'Calcul R84'!V189</f>
        <v>0</v>
      </c>
      <c r="V137" s="247">
        <f>'Calcul R84'!W189</f>
        <v>1028</v>
      </c>
      <c r="W137" s="438">
        <f>'Calcul R84'!X189</f>
        <v>1028</v>
      </c>
    </row>
    <row r="138" spans="1:67" x14ac:dyDescent="0.3">
      <c r="A138" s="470" t="s">
        <v>515</v>
      </c>
      <c r="B138" s="440">
        <f>'Calcul R84'!C191</f>
        <v>20.8</v>
      </c>
      <c r="C138" s="253">
        <f>'Calcul R84'!D191</f>
        <v>27.1</v>
      </c>
      <c r="D138" s="253">
        <f>'Calcul R84'!E191</f>
        <v>18.5</v>
      </c>
      <c r="E138" s="253">
        <f>'Calcul R84'!F191</f>
        <v>20.3</v>
      </c>
      <c r="F138" s="253">
        <f>'Calcul R84'!G191</f>
        <v>22.4</v>
      </c>
      <c r="G138" s="253">
        <f>'Calcul R84'!H191</f>
        <v>21.4</v>
      </c>
      <c r="H138" s="253">
        <f>'Calcul R84'!I191</f>
        <v>22.3</v>
      </c>
      <c r="I138" s="253">
        <f>'Calcul R84'!J191</f>
        <v>18.600000000000001</v>
      </c>
      <c r="J138" s="253">
        <f>'Calcul R84'!K191</f>
        <v>21.3</v>
      </c>
      <c r="K138" s="253">
        <f>'Calcul R84'!L191</f>
        <v>15.4</v>
      </c>
      <c r="L138" s="253">
        <f>'Calcul R84'!M191</f>
        <v>19.5</v>
      </c>
      <c r="M138" s="253">
        <f>'Calcul R84'!N191</f>
        <v>8.8000000000000007</v>
      </c>
      <c r="N138" s="253">
        <f>'Calcul R84'!O191</f>
        <v>17.899999999999999</v>
      </c>
      <c r="O138" s="253">
        <f>'Calcul R84'!P191</f>
        <v>16.8</v>
      </c>
      <c r="P138" s="253">
        <f>'Calcul R84'!Q191</f>
        <v>0</v>
      </c>
      <c r="Q138" s="253">
        <f>'Calcul R84'!R191</f>
        <v>0</v>
      </c>
      <c r="R138" s="253">
        <f>'Calcul R84'!S191</f>
        <v>0</v>
      </c>
      <c r="S138" s="253">
        <f>'Calcul R84'!T191</f>
        <v>0</v>
      </c>
      <c r="T138" s="253">
        <f>'Calcul R84'!U191</f>
        <v>0</v>
      </c>
      <c r="U138" s="253">
        <f>'Calcul R84'!V191</f>
        <v>0</v>
      </c>
      <c r="V138" s="253">
        <f>'Calcul R84'!W191</f>
        <v>14.1</v>
      </c>
      <c r="W138" s="245">
        <f>'Calcul R84'!X191</f>
        <v>14.1</v>
      </c>
    </row>
    <row r="139" spans="1:67" x14ac:dyDescent="0.3">
      <c r="A139" s="470" t="s">
        <v>516</v>
      </c>
      <c r="B139" s="58">
        <f t="shared" ref="B139:W139" si="23">B138*B137</f>
        <v>22859.200000000001</v>
      </c>
      <c r="C139" s="53">
        <f t="shared" si="23"/>
        <v>28563.4</v>
      </c>
      <c r="D139" s="53">
        <f t="shared" si="23"/>
        <v>18777.5</v>
      </c>
      <c r="E139" s="53">
        <f t="shared" si="23"/>
        <v>19751.900000000001</v>
      </c>
      <c r="F139" s="53">
        <f t="shared" si="23"/>
        <v>21907.199999999997</v>
      </c>
      <c r="G139" s="53">
        <f t="shared" si="23"/>
        <v>21186</v>
      </c>
      <c r="H139" s="53">
        <f t="shared" si="23"/>
        <v>22099.3</v>
      </c>
      <c r="I139" s="53">
        <f t="shared" si="23"/>
        <v>18544.2</v>
      </c>
      <c r="J139" s="53">
        <f t="shared" si="23"/>
        <v>21257.4</v>
      </c>
      <c r="K139" s="53">
        <f t="shared" si="23"/>
        <v>15292.2</v>
      </c>
      <c r="L139" s="53">
        <f t="shared" si="23"/>
        <v>20026.5</v>
      </c>
      <c r="M139" s="53">
        <f t="shared" si="23"/>
        <v>9037.6</v>
      </c>
      <c r="N139" s="53">
        <f t="shared" si="23"/>
        <v>18383.3</v>
      </c>
      <c r="O139" s="53">
        <f t="shared" si="23"/>
        <v>17304</v>
      </c>
      <c r="P139" s="53">
        <f t="shared" si="23"/>
        <v>0</v>
      </c>
      <c r="Q139" s="53">
        <f t="shared" si="23"/>
        <v>0</v>
      </c>
      <c r="R139" s="53">
        <f t="shared" si="23"/>
        <v>0</v>
      </c>
      <c r="S139" s="53">
        <f t="shared" si="23"/>
        <v>0</v>
      </c>
      <c r="T139" s="53">
        <f t="shared" si="23"/>
        <v>0</v>
      </c>
      <c r="U139" s="53">
        <f t="shared" si="23"/>
        <v>0</v>
      </c>
      <c r="V139" s="53">
        <f t="shared" si="23"/>
        <v>14494.8</v>
      </c>
      <c r="W139" s="210">
        <f t="shared" si="23"/>
        <v>14494.8</v>
      </c>
    </row>
    <row r="140" spans="1:67" x14ac:dyDescent="0.3">
      <c r="A140" s="503" t="s">
        <v>422</v>
      </c>
      <c r="B140" s="463">
        <f>B139/('Calcul Fr métro'!C225*'Calcul Fr métro'!C227)</f>
        <v>0.15585761506321794</v>
      </c>
      <c r="C140" s="496">
        <f>C139/('Calcul Fr métro'!D225*'Calcul Fr métro'!D227)</f>
        <v>0.17384641134492781</v>
      </c>
      <c r="D140" s="496">
        <f>D139/('Calcul Fr métro'!E225*'Calcul Fr métro'!E227)</f>
        <v>0.15678803910370095</v>
      </c>
      <c r="E140" s="496">
        <f>E139/('Calcul Fr métro'!F225*'Calcul Fr métro'!F227)</f>
        <v>0.13239656968349875</v>
      </c>
      <c r="F140" s="496">
        <f>F139/('Calcul Fr métro'!G225*'Calcul Fr métro'!G227)</f>
        <v>0.15829565111832722</v>
      </c>
      <c r="G140" s="496">
        <f>G139/('Calcul Fr métro'!H225*'Calcul Fr métro'!H227)</f>
        <v>0.14098847655782085</v>
      </c>
      <c r="H140" s="496">
        <f>H139/('Calcul Fr métro'!I225*'Calcul Fr métro'!I227)</f>
        <v>0.15891174366220476</v>
      </c>
      <c r="I140" s="496">
        <f>I139/('Calcul Fr métro'!J225*'Calcul Fr métro'!J227)</f>
        <v>0.13204874870491226</v>
      </c>
      <c r="J140" s="496">
        <f>J139/('Calcul Fr métro'!K225*'Calcul Fr métro'!K227)</f>
        <v>0.15018768691857859</v>
      </c>
      <c r="K140" s="496">
        <f>K139/('Calcul Fr métro'!L225*'Calcul Fr métro'!L227)</f>
        <v>0.11391958091968818</v>
      </c>
      <c r="L140" s="496">
        <f>L139/('Calcul Fr métro'!M225*'Calcul Fr métro'!M227)</f>
        <v>0.13302048461661087</v>
      </c>
      <c r="M140" s="496">
        <f>M139/('Calcul Fr métro'!N225*'Calcul Fr métro'!N227)</f>
        <v>0.13121189815601234</v>
      </c>
      <c r="N140" s="496">
        <f>N139/('Calcul Fr métro'!O225*'Calcul Fr métro'!O227)</f>
        <v>0.12917739731080982</v>
      </c>
      <c r="O140" s="496">
        <f>O139/('Calcul Fr métro'!P225*'Calcul Fr métro'!P227)</f>
        <v>0.13486182975330666</v>
      </c>
      <c r="P140" s="479"/>
      <c r="Q140" s="479"/>
      <c r="R140" s="479"/>
      <c r="S140" s="479"/>
      <c r="T140" s="479"/>
      <c r="U140" s="479"/>
      <c r="V140" s="496">
        <f>V139/('Calcul Fr métro'!W225*'Calcul Fr métro'!W227)</f>
        <v>0.11476254369139072</v>
      </c>
      <c r="W140" s="486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</row>
    <row r="141" spans="1:67" s="561" customFormat="1" x14ac:dyDescent="0.3">
      <c r="A141" s="568" t="s">
        <v>612</v>
      </c>
      <c r="B141" s="559"/>
      <c r="C141" s="559"/>
      <c r="D141" s="559"/>
      <c r="E141" s="559"/>
      <c r="F141" s="559"/>
      <c r="G141" s="559"/>
      <c r="H141" s="559"/>
      <c r="I141" s="559"/>
      <c r="J141" s="559"/>
      <c r="K141" s="559"/>
      <c r="L141" s="559"/>
      <c r="M141" s="559"/>
      <c r="N141" s="559"/>
      <c r="O141" s="559"/>
      <c r="P141" s="560"/>
      <c r="Q141" s="560"/>
      <c r="R141" s="560"/>
      <c r="S141" s="560"/>
      <c r="T141" s="560"/>
      <c r="U141" s="560"/>
      <c r="V141" s="559"/>
      <c r="W141" s="559"/>
    </row>
    <row r="143" spans="1:67" x14ac:dyDescent="0.3">
      <c r="A143" t="s">
        <v>557</v>
      </c>
    </row>
    <row r="144" spans="1:67" ht="28.8" x14ac:dyDescent="0.3">
      <c r="A144" s="466" t="s">
        <v>475</v>
      </c>
      <c r="B144" s="154" t="s">
        <v>465</v>
      </c>
      <c r="C144" s="154" t="s">
        <v>466</v>
      </c>
      <c r="D144" s="9" t="s">
        <v>467</v>
      </c>
    </row>
    <row r="145" spans="1:4" x14ac:dyDescent="0.3">
      <c r="A145" s="390" t="s">
        <v>1</v>
      </c>
      <c r="B145" s="108">
        <f>AVERAGE(B71:F71)</f>
        <v>1381300.344</v>
      </c>
      <c r="C145" s="108">
        <f>W71</f>
        <v>1216670.2</v>
      </c>
      <c r="D145" s="112">
        <f>C145/B145-1</f>
        <v>-0.11918490045637753</v>
      </c>
    </row>
    <row r="146" spans="1:4" x14ac:dyDescent="0.3">
      <c r="A146" s="390" t="s">
        <v>4</v>
      </c>
      <c r="B146" s="108">
        <f>AVERAGE(B75:F75)</f>
        <v>41119.824000000008</v>
      </c>
      <c r="C146" s="108">
        <f>W75</f>
        <v>53759.28</v>
      </c>
      <c r="D146" s="112">
        <f t="shared" ref="D146:D150" si="24">C146/B146-1</f>
        <v>0.30738108217583782</v>
      </c>
    </row>
    <row r="147" spans="1:4" x14ac:dyDescent="0.3">
      <c r="A147" s="390" t="s">
        <v>84</v>
      </c>
      <c r="B147" s="108">
        <f>AVERAGE(B79:F79)</f>
        <v>2336355.1940000001</v>
      </c>
      <c r="C147" s="108">
        <f>W79</f>
        <v>1817008.69</v>
      </c>
      <c r="D147" s="112">
        <f t="shared" si="24"/>
        <v>-0.22228919015984183</v>
      </c>
    </row>
    <row r="148" spans="1:4" x14ac:dyDescent="0.3">
      <c r="A148" s="390" t="s">
        <v>104</v>
      </c>
      <c r="B148" s="108">
        <f>AVERAGE(B83:F83)</f>
        <v>105697.40800000001</v>
      </c>
      <c r="C148" s="108">
        <f>W83</f>
        <v>104207.40333333334</v>
      </c>
      <c r="D148" s="112">
        <f t="shared" si="24"/>
        <v>-1.4096889364275333E-2</v>
      </c>
    </row>
    <row r="149" spans="1:4" x14ac:dyDescent="0.3">
      <c r="A149" s="390" t="s">
        <v>105</v>
      </c>
      <c r="B149" s="108">
        <f>AVERAGE(B87:F87)</f>
        <v>86055.668000000005</v>
      </c>
      <c r="C149" s="108">
        <f>W87</f>
        <v>98279.8</v>
      </c>
      <c r="D149" s="112">
        <f t="shared" si="24"/>
        <v>0.14204912104104506</v>
      </c>
    </row>
    <row r="150" spans="1:4" x14ac:dyDescent="0.3">
      <c r="A150" s="390" t="s">
        <v>85</v>
      </c>
      <c r="B150" s="108">
        <f>AVERAGE(B91:F91)</f>
        <v>16601.46</v>
      </c>
      <c r="C150" s="108">
        <f>W91</f>
        <v>43706.666666666672</v>
      </c>
      <c r="D150" s="112">
        <f t="shared" si="24"/>
        <v>1.6327001761692448</v>
      </c>
    </row>
    <row r="151" spans="1:4" x14ac:dyDescent="0.3">
      <c r="A151" s="391" t="s">
        <v>113</v>
      </c>
      <c r="B151" s="108">
        <f>AVERAGE(B95:F95)</f>
        <v>16745.031999999999</v>
      </c>
      <c r="C151" s="108">
        <f>W95</f>
        <v>13722.9</v>
      </c>
      <c r="D151" s="112">
        <f t="shared" ref="D151:D162" si="25">C151/B151-1</f>
        <v>-0.18047932067254335</v>
      </c>
    </row>
    <row r="152" spans="1:4" x14ac:dyDescent="0.3">
      <c r="A152" s="392" t="s">
        <v>106</v>
      </c>
      <c r="B152" s="108">
        <f>AVERAGE(B99:F99)</f>
        <v>2127.2799999999997</v>
      </c>
      <c r="C152" s="108">
        <f>W99</f>
        <v>2434.5</v>
      </c>
      <c r="D152" s="112">
        <f t="shared" si="25"/>
        <v>0.14441916437892544</v>
      </c>
    </row>
    <row r="153" spans="1:4" x14ac:dyDescent="0.3">
      <c r="A153" s="392" t="s">
        <v>107</v>
      </c>
      <c r="B153" s="108">
        <f>AVERAGE(B103:F103)</f>
        <v>74005.680000000008</v>
      </c>
      <c r="C153" s="108">
        <f>W103</f>
        <v>111965.33333333334</v>
      </c>
      <c r="D153" s="112">
        <f t="shared" si="25"/>
        <v>0.51292891752813197</v>
      </c>
    </row>
    <row r="154" spans="1:4" x14ac:dyDescent="0.3">
      <c r="A154" s="392" t="s">
        <v>23</v>
      </c>
      <c r="B154" s="108">
        <f>AVERAGE(B107:F107)</f>
        <v>13046.28</v>
      </c>
      <c r="C154" s="108">
        <f>W107</f>
        <v>13080.800000000001</v>
      </c>
      <c r="D154" s="112">
        <f t="shared" si="25"/>
        <v>2.6459649800556484E-3</v>
      </c>
    </row>
    <row r="155" spans="1:4" x14ac:dyDescent="0.3">
      <c r="A155" s="392" t="s">
        <v>21</v>
      </c>
      <c r="B155" s="108">
        <f>AVERAGE(B111:F111)</f>
        <v>43250.04</v>
      </c>
      <c r="C155" s="108">
        <f>W111</f>
        <v>30597.599999999999</v>
      </c>
      <c r="D155" s="112">
        <f t="shared" si="25"/>
        <v>-0.29254169475912628</v>
      </c>
    </row>
    <row r="156" spans="1:4" x14ac:dyDescent="0.3">
      <c r="A156" s="392" t="s">
        <v>12</v>
      </c>
      <c r="B156" s="108">
        <f>AVERAGE(B115:F115)</f>
        <v>58949.240000000005</v>
      </c>
      <c r="C156" s="108">
        <f>W115</f>
        <v>61868.166666666672</v>
      </c>
      <c r="D156" s="112">
        <f t="shared" si="25"/>
        <v>4.9515933821482117E-2</v>
      </c>
    </row>
    <row r="157" spans="1:4" x14ac:dyDescent="0.3">
      <c r="A157" s="392" t="s">
        <v>20</v>
      </c>
      <c r="B157" s="108">
        <f>AVERAGE(B119:F119)</f>
        <v>21520.519999999997</v>
      </c>
      <c r="C157" s="108">
        <f>W119</f>
        <v>19707.900000000001</v>
      </c>
      <c r="D157" s="112">
        <f t="shared" si="25"/>
        <v>-8.422751866590561E-2</v>
      </c>
    </row>
    <row r="158" spans="1:4" x14ac:dyDescent="0.3">
      <c r="A158" s="392" t="s">
        <v>135</v>
      </c>
      <c r="B158" s="108">
        <f>AVERAGE(B123:F123)</f>
        <v>15530.16</v>
      </c>
      <c r="C158" s="108">
        <f>W123</f>
        <v>15693.699999999999</v>
      </c>
      <c r="D158" s="112">
        <f t="shared" si="25"/>
        <v>1.053047747093383E-2</v>
      </c>
    </row>
    <row r="159" spans="1:4" x14ac:dyDescent="0.3">
      <c r="A159" s="403" t="s">
        <v>24</v>
      </c>
      <c r="B159" s="108">
        <f>AVERAGE(B127:F127)</f>
        <v>87935.9</v>
      </c>
      <c r="C159" s="108">
        <f>W127</f>
        <v>43582.5</v>
      </c>
      <c r="D159" s="112">
        <f t="shared" si="25"/>
        <v>-0.50438330647664942</v>
      </c>
    </row>
    <row r="160" spans="1:4" x14ac:dyDescent="0.3">
      <c r="A160" s="403" t="s">
        <v>529</v>
      </c>
      <c r="B160" s="108">
        <f>AVERAGE(B131:F131)</f>
        <v>58095.519999999997</v>
      </c>
      <c r="C160" s="108">
        <f>W131</f>
        <v>33489.866666666669</v>
      </c>
      <c r="D160" s="112">
        <f t="shared" si="25"/>
        <v>-0.42353787922602859</v>
      </c>
    </row>
    <row r="161" spans="1:23" x14ac:dyDescent="0.3">
      <c r="A161" s="403" t="s">
        <v>7</v>
      </c>
      <c r="B161" s="108">
        <f>AVERAGE(B135:F135)</f>
        <v>114362.98000000001</v>
      </c>
      <c r="C161" s="108">
        <f>W135</f>
        <v>88379.433333333334</v>
      </c>
      <c r="D161" s="112">
        <f t="shared" si="25"/>
        <v>-0.22720242745219366</v>
      </c>
    </row>
    <row r="162" spans="1:23" x14ac:dyDescent="0.3">
      <c r="A162" s="403" t="s">
        <v>9</v>
      </c>
      <c r="B162" s="108">
        <f>AVERAGE(B139:F139)</f>
        <v>22371.84</v>
      </c>
      <c r="C162" s="108">
        <f>W139</f>
        <v>14494.8</v>
      </c>
      <c r="D162" s="112">
        <f t="shared" si="25"/>
        <v>-0.3520962066598009</v>
      </c>
    </row>
    <row r="164" spans="1:23" ht="28.8" x14ac:dyDescent="0.3">
      <c r="A164" s="460" t="s">
        <v>420</v>
      </c>
      <c r="B164" s="420">
        <v>2010</v>
      </c>
      <c r="C164" s="421">
        <v>2011</v>
      </c>
      <c r="D164" s="421">
        <v>2012</v>
      </c>
      <c r="E164" s="421">
        <v>2013</v>
      </c>
      <c r="F164" s="421">
        <v>2014</v>
      </c>
      <c r="G164" s="421">
        <v>2015</v>
      </c>
      <c r="H164" s="421">
        <v>2016</v>
      </c>
      <c r="I164" s="421">
        <v>2017</v>
      </c>
      <c r="J164" s="421">
        <v>2018</v>
      </c>
      <c r="K164" s="421">
        <v>2019</v>
      </c>
      <c r="L164" s="421">
        <v>2020</v>
      </c>
      <c r="M164" s="421">
        <v>2021</v>
      </c>
      <c r="N164" s="421">
        <v>2022</v>
      </c>
      <c r="O164" s="421">
        <v>2023</v>
      </c>
      <c r="P164" s="421">
        <v>2024</v>
      </c>
      <c r="Q164" s="421">
        <v>2025</v>
      </c>
      <c r="R164" s="421">
        <v>2026</v>
      </c>
      <c r="S164" s="421">
        <v>2027</v>
      </c>
      <c r="T164" s="421">
        <v>2028</v>
      </c>
      <c r="U164" s="421">
        <v>2029</v>
      </c>
      <c r="V164" s="504" t="s">
        <v>537</v>
      </c>
      <c r="W164" s="505" t="s">
        <v>538</v>
      </c>
    </row>
    <row r="165" spans="1:23" x14ac:dyDescent="0.3">
      <c r="A165" s="464" t="s">
        <v>468</v>
      </c>
      <c r="B165" s="12">
        <f>'Calcul R84'!C197</f>
        <v>147219</v>
      </c>
      <c r="C165" s="54">
        <f>'Calcul R84'!D197</f>
        <v>155016</v>
      </c>
      <c r="D165" s="54">
        <f>'Calcul R84'!E197</f>
        <v>140177</v>
      </c>
      <c r="E165" s="54">
        <f>'Calcul R84'!F197</f>
        <v>135857</v>
      </c>
      <c r="F165" s="54">
        <f>'Calcul R84'!G197</f>
        <v>138756</v>
      </c>
      <c r="G165" s="54">
        <f>'Calcul R84'!H197</f>
        <v>145637</v>
      </c>
      <c r="H165" s="54">
        <f>'Calcul R84'!I197</f>
        <v>148471</v>
      </c>
      <c r="I165" s="54">
        <f>'Calcul R84'!J197</f>
        <v>147917</v>
      </c>
      <c r="J165" s="54">
        <f>'Calcul R84'!K197</f>
        <v>146550</v>
      </c>
      <c r="K165" s="54">
        <f>'Calcul R84'!L197</f>
        <v>142280</v>
      </c>
      <c r="L165" s="54">
        <f>'Calcul R84'!M197</f>
        <v>139482</v>
      </c>
      <c r="M165" s="54">
        <f>'Calcul R84'!N197</f>
        <v>135894</v>
      </c>
      <c r="N165" s="54">
        <f>'Calcul R84'!O197</f>
        <v>133651</v>
      </c>
      <c r="O165" s="54">
        <f>'Calcul R84'!P197</f>
        <v>124582</v>
      </c>
      <c r="P165" s="54">
        <f>'Calcul R84'!Q197</f>
        <v>0</v>
      </c>
      <c r="Q165" s="54">
        <f>'Calcul R84'!R197</f>
        <v>0</v>
      </c>
      <c r="R165" s="54">
        <f>'Calcul R84'!S197</f>
        <v>0</v>
      </c>
      <c r="S165" s="54">
        <f>'Calcul R84'!T197</f>
        <v>0</v>
      </c>
      <c r="T165" s="54">
        <f>'Calcul R84'!U197</f>
        <v>0</v>
      </c>
      <c r="U165" s="54">
        <f>'Calcul R84'!V197</f>
        <v>0</v>
      </c>
      <c r="V165" s="54">
        <f>'Calcul R84'!W197</f>
        <v>115611</v>
      </c>
      <c r="W165" s="13">
        <f>'Calcul R84'!X197</f>
        <v>115611</v>
      </c>
    </row>
    <row r="166" spans="1:23" x14ac:dyDescent="0.3">
      <c r="A166" s="501" t="s">
        <v>422</v>
      </c>
      <c r="B166" s="463">
        <f>B165/'Calcul Fr métro'!C232</f>
        <v>9.7220846425415744E-2</v>
      </c>
      <c r="C166" s="496">
        <f>C165/'Calcul Fr métro'!D232</f>
        <v>9.9822591706564753E-2</v>
      </c>
      <c r="D166" s="496">
        <f>D165/'Calcul Fr métro'!E232</f>
        <v>9.4675871049487409E-2</v>
      </c>
      <c r="E166" s="496">
        <f>E165/'Calcul Fr métro'!F232</f>
        <v>9.7870234429817293E-2</v>
      </c>
      <c r="F166" s="496">
        <f>F165/'Calcul Fr métro'!G232</f>
        <v>9.9229724578801443E-2</v>
      </c>
      <c r="G166" s="496">
        <f>G165/'Calcul Fr métro'!H232</f>
        <v>0.10150766097527146</v>
      </c>
      <c r="H166" s="496">
        <f>H165/'Calcul Fr métro'!I232</f>
        <v>0.10232597568094524</v>
      </c>
      <c r="I166" s="496">
        <f>I165/'Calcul Fr métro'!J232</f>
        <v>0.10424574643075114</v>
      </c>
      <c r="J166" s="496">
        <f>J165/'Calcul Fr métro'!K232</f>
        <v>0.10283503309947807</v>
      </c>
      <c r="K166" s="496">
        <f>K165/'Calcul Fr métro'!L232</f>
        <v>0.10229281714332138</v>
      </c>
      <c r="L166" s="496">
        <f>L165/'Calcul Fr métro'!M232</f>
        <v>9.9665879716698005E-2</v>
      </c>
      <c r="M166" s="496">
        <f>M165/'Calcul Fr métro'!N232</f>
        <v>9.8459072835398717E-2</v>
      </c>
      <c r="N166" s="496">
        <f>N165/'Calcul Fr métro'!O232</f>
        <v>0.1015399927064973</v>
      </c>
      <c r="O166" s="496">
        <f>O165/'Calcul Fr métro'!P232</f>
        <v>9.8933413592683275E-2</v>
      </c>
      <c r="P166" s="496"/>
      <c r="Q166" s="455"/>
      <c r="R166" s="455"/>
      <c r="S166" s="455"/>
      <c r="T166" s="455"/>
      <c r="U166" s="455"/>
      <c r="V166" s="496">
        <f>V165/'Calcul Fr métro'!W232</f>
        <v>8.7679320393184629E-2</v>
      </c>
      <c r="W166" s="486"/>
    </row>
    <row r="167" spans="1:23" x14ac:dyDescent="0.3">
      <c r="A167" s="462" t="s">
        <v>469</v>
      </c>
      <c r="B167" s="12">
        <f>'Calcul R84'!C202</f>
        <v>98376</v>
      </c>
      <c r="C167" s="54">
        <f>'Calcul R84'!D202</f>
        <v>90567</v>
      </c>
      <c r="D167" s="54">
        <f>'Calcul R84'!E202</f>
        <v>89312</v>
      </c>
      <c r="E167" s="54">
        <f>'Calcul R84'!F202</f>
        <v>86985</v>
      </c>
      <c r="F167" s="54">
        <f>'Calcul R84'!G202</f>
        <v>85775</v>
      </c>
      <c r="G167" s="54">
        <f>'Calcul R84'!H202</f>
        <v>86510</v>
      </c>
      <c r="H167" s="54">
        <f>'Calcul R84'!I202</f>
        <v>86299</v>
      </c>
      <c r="I167" s="54">
        <f>'Calcul R84'!J202</f>
        <v>84939</v>
      </c>
      <c r="J167" s="54">
        <f>'Calcul R84'!K202</f>
        <v>83912</v>
      </c>
      <c r="K167" s="54">
        <f>'Calcul R84'!L202</f>
        <v>83570</v>
      </c>
      <c r="L167" s="54">
        <f>'Calcul R84'!M202</f>
        <v>83312</v>
      </c>
      <c r="M167" s="54">
        <f>'Calcul R84'!N202</f>
        <v>85842</v>
      </c>
      <c r="N167" s="54">
        <f>'Calcul R84'!O202</f>
        <v>85412</v>
      </c>
      <c r="O167" s="54">
        <f>'Calcul R84'!P202</f>
        <v>84753</v>
      </c>
      <c r="P167" s="54">
        <f>'Calcul R84'!Q202</f>
        <v>0</v>
      </c>
      <c r="Q167" s="54">
        <f>'Calcul R84'!R202</f>
        <v>0</v>
      </c>
      <c r="R167" s="54">
        <f>'Calcul R84'!S202</f>
        <v>0</v>
      </c>
      <c r="S167" s="54">
        <f>'Calcul R84'!T202</f>
        <v>0</v>
      </c>
      <c r="T167" s="54">
        <f>'Calcul R84'!U202</f>
        <v>0</v>
      </c>
      <c r="U167" s="54">
        <f>'Calcul R84'!V202</f>
        <v>0</v>
      </c>
      <c r="V167" s="54">
        <f>'Calcul R84'!W202</f>
        <v>81069</v>
      </c>
      <c r="W167" s="13">
        <f>'Calcul R84'!X202</f>
        <v>81069</v>
      </c>
    </row>
    <row r="168" spans="1:23" x14ac:dyDescent="0.3">
      <c r="A168" s="461" t="s">
        <v>422</v>
      </c>
      <c r="B168" s="463">
        <f>B167/'Calcul Fr métro'!C237</f>
        <v>4.413460930220247E-2</v>
      </c>
      <c r="C168" s="496">
        <f>C167/'Calcul Fr métro'!D237</f>
        <v>4.1196086128463087E-2</v>
      </c>
      <c r="D168" s="496">
        <f>D167/'Calcul Fr métro'!E237</f>
        <v>4.1588204506382211E-2</v>
      </c>
      <c r="E168" s="496">
        <f>E167/'Calcul Fr métro'!F237</f>
        <v>4.0938529375636246E-2</v>
      </c>
      <c r="F168" s="496">
        <f>F167/'Calcul Fr métro'!G237</f>
        <v>4.016202468109175E-2</v>
      </c>
      <c r="G168" s="496">
        <f>G167/'Calcul Fr métro'!H237</f>
        <v>4.0106982861694195E-2</v>
      </c>
      <c r="H168" s="496">
        <f>H167/'Calcul Fr métro'!I237</f>
        <v>3.9648461548356981E-2</v>
      </c>
      <c r="I168" s="496">
        <f>I167/'Calcul Fr métro'!J237</f>
        <v>3.9164631717177677E-2</v>
      </c>
      <c r="J168" s="496">
        <f>J167/'Calcul Fr métro'!K237</f>
        <v>3.8446665286022447E-2</v>
      </c>
      <c r="K168" s="496">
        <f>K167/'Calcul Fr métro'!L237</f>
        <v>3.8285442552594952E-2</v>
      </c>
      <c r="L168" s="496">
        <f>L167/'Calcul Fr métro'!M237</f>
        <v>3.8119780447049049E-2</v>
      </c>
      <c r="M168" s="496">
        <f>M167/'Calcul Fr métro'!N237</f>
        <v>3.8878316061026305E-2</v>
      </c>
      <c r="N168" s="496">
        <f>N167/'Calcul Fr métro'!O237</f>
        <v>3.9618307580412938E-2</v>
      </c>
      <c r="O168" s="496">
        <f>O167/'Calcul Fr métro'!P237</f>
        <v>4.1371422657947819E-2</v>
      </c>
      <c r="P168" s="455"/>
      <c r="Q168" s="455"/>
      <c r="R168" s="455"/>
      <c r="S168" s="455"/>
      <c r="T168" s="455"/>
      <c r="U168" s="455"/>
      <c r="V168" s="496">
        <f>V167/'Calcul Fr métro'!W237</f>
        <v>3.792745522521429E-2</v>
      </c>
      <c r="W168" s="486"/>
    </row>
    <row r="169" spans="1:23" x14ac:dyDescent="0.3">
      <c r="A169" s="462" t="s">
        <v>470</v>
      </c>
      <c r="B169" s="12">
        <f>'Calcul R84'!C207</f>
        <v>115650</v>
      </c>
      <c r="C169" s="54">
        <f>'Calcul R84'!D207</f>
        <v>113840</v>
      </c>
      <c r="D169" s="54">
        <f>'Calcul R84'!E207</f>
        <v>112164</v>
      </c>
      <c r="E169" s="54">
        <f>'Calcul R84'!F207</f>
        <v>112567</v>
      </c>
      <c r="F169" s="54">
        <f>'Calcul R84'!G207</f>
        <v>115477</v>
      </c>
      <c r="G169" s="54">
        <f>'Calcul R84'!H207</f>
        <v>115783</v>
      </c>
      <c r="H169" s="54">
        <f>'Calcul R84'!I207</f>
        <v>116346</v>
      </c>
      <c r="I169" s="54">
        <f>'Calcul R84'!J207</f>
        <v>114865</v>
      </c>
      <c r="J169" s="54">
        <f>'Calcul R84'!K207</f>
        <v>114550</v>
      </c>
      <c r="K169" s="54">
        <f>'Calcul R84'!L207</f>
        <v>111858</v>
      </c>
      <c r="L169" s="54">
        <f>'Calcul R84'!M207</f>
        <v>114742</v>
      </c>
      <c r="M169" s="54">
        <f>'Calcul R84'!N207</f>
        <v>116545</v>
      </c>
      <c r="N169" s="54">
        <f>'Calcul R84'!O207</f>
        <v>101357</v>
      </c>
      <c r="O169" s="54">
        <f>'Calcul R84'!P207</f>
        <v>102045</v>
      </c>
      <c r="P169" s="54">
        <f>'Calcul R84'!Q207</f>
        <v>0</v>
      </c>
      <c r="Q169" s="54">
        <f>'Calcul R84'!R207</f>
        <v>0</v>
      </c>
      <c r="R169" s="54">
        <f>'Calcul R84'!S207</f>
        <v>0</v>
      </c>
      <c r="S169" s="54">
        <f>'Calcul R84'!T207</f>
        <v>0</v>
      </c>
      <c r="T169" s="54">
        <f>'Calcul R84'!U207</f>
        <v>0</v>
      </c>
      <c r="U169" s="54">
        <f>'Calcul R84'!V207</f>
        <v>0</v>
      </c>
      <c r="V169" s="54">
        <f>'Calcul R84'!W207</f>
        <v>101317</v>
      </c>
      <c r="W169" s="13">
        <f>'Calcul R84'!X207</f>
        <v>101317</v>
      </c>
    </row>
    <row r="170" spans="1:23" x14ac:dyDescent="0.3">
      <c r="A170" s="461" t="s">
        <v>422</v>
      </c>
      <c r="B170" s="463">
        <f>B169/'Calcul Fr métro'!C242</f>
        <v>6.3604973595183606E-2</v>
      </c>
      <c r="C170" s="496">
        <f>C169/'Calcul Fr métro'!D242</f>
        <v>6.2186130337032824E-2</v>
      </c>
      <c r="D170" s="496">
        <f>D169/'Calcul Fr métro'!E242</f>
        <v>6.2224876619342395E-2</v>
      </c>
      <c r="E170" s="496">
        <f>E169/'Calcul Fr métro'!F242</f>
        <v>6.3266898890589424E-2</v>
      </c>
      <c r="F170" s="496">
        <f>F169/'Calcul Fr métro'!G242</f>
        <v>6.2907930496905157E-2</v>
      </c>
      <c r="G170" s="496">
        <f>G169/'Calcul Fr métro'!H242</f>
        <v>6.2629336302423524E-2</v>
      </c>
      <c r="H170" s="496">
        <f>H169/'Calcul Fr métro'!I242</f>
        <v>6.4139293121546787E-2</v>
      </c>
      <c r="I170" s="496">
        <f>I169/'Calcul Fr métro'!J242</f>
        <v>6.5199366550098059E-2</v>
      </c>
      <c r="J170" s="496">
        <f>J169/'Calcul Fr métro'!K242</f>
        <v>6.5756693175799241E-2</v>
      </c>
      <c r="K170" s="496">
        <f>K169/'Calcul Fr métro'!L242</f>
        <v>6.3590380262532248E-2</v>
      </c>
      <c r="L170" s="496">
        <f>L169/'Calcul Fr métro'!M242</f>
        <v>6.685842374599045E-2</v>
      </c>
      <c r="M170" s="496">
        <f>M169/'Calcul Fr métro'!N242</f>
        <v>6.9080530946112134E-2</v>
      </c>
      <c r="N170" s="496">
        <f>N169/'Calcul Fr métro'!O242</f>
        <v>6.8551142418353639E-2</v>
      </c>
      <c r="O170" s="496">
        <f>O169/'Calcul Fr métro'!P242</f>
        <v>6.7386325815807405E-2</v>
      </c>
      <c r="P170" s="455"/>
      <c r="Q170" s="455"/>
      <c r="R170" s="455"/>
      <c r="S170" s="455"/>
      <c r="T170" s="455"/>
      <c r="U170" s="455"/>
      <c r="V170" s="496">
        <f>V169/'Calcul Fr métro'!W242</f>
        <v>6.4947110205419045E-2</v>
      </c>
      <c r="W170" s="486"/>
    </row>
    <row r="171" spans="1:23" x14ac:dyDescent="0.3">
      <c r="A171" s="462" t="s">
        <v>471</v>
      </c>
      <c r="B171" s="12">
        <f>'Calcul R84'!C212</f>
        <v>16939</v>
      </c>
      <c r="C171" s="54">
        <f>'Calcul R84'!D212</f>
        <v>17173</v>
      </c>
      <c r="D171" s="54">
        <f>'Calcul R84'!E212</f>
        <v>17054</v>
      </c>
      <c r="E171" s="54">
        <f>'Calcul R84'!F212</f>
        <v>16425</v>
      </c>
      <c r="F171" s="54">
        <f>'Calcul R84'!G212</f>
        <v>15936</v>
      </c>
      <c r="G171" s="54">
        <f>'Calcul R84'!H212</f>
        <v>16068</v>
      </c>
      <c r="H171" s="54">
        <f>'Calcul R84'!I212</f>
        <v>15800</v>
      </c>
      <c r="I171" s="54">
        <f>'Calcul R84'!J212</f>
        <v>14673</v>
      </c>
      <c r="J171" s="54">
        <f>'Calcul R84'!K212</f>
        <v>14800</v>
      </c>
      <c r="K171" s="54">
        <f>'Calcul R84'!L212</f>
        <v>14178</v>
      </c>
      <c r="L171" s="54">
        <f>'Calcul R84'!M212</f>
        <v>14030</v>
      </c>
      <c r="M171" s="54">
        <f>'Calcul R84'!N212</f>
        <v>13494</v>
      </c>
      <c r="N171" s="54">
        <f>'Calcul R84'!O212</f>
        <v>12705</v>
      </c>
      <c r="O171" s="54">
        <f>'Calcul R84'!P212</f>
        <v>11030</v>
      </c>
      <c r="P171" s="54">
        <f>'Calcul R84'!Q212</f>
        <v>0</v>
      </c>
      <c r="Q171" s="54">
        <f>'Calcul R84'!R212</f>
        <v>0</v>
      </c>
      <c r="R171" s="54">
        <f>'Calcul R84'!S212</f>
        <v>0</v>
      </c>
      <c r="S171" s="54">
        <f>'Calcul R84'!T212</f>
        <v>0</v>
      </c>
      <c r="T171" s="54">
        <f>'Calcul R84'!U212</f>
        <v>0</v>
      </c>
      <c r="U171" s="54">
        <f>'Calcul R84'!V212</f>
        <v>0</v>
      </c>
      <c r="V171" s="54">
        <f>'Calcul R84'!W212</f>
        <v>10921</v>
      </c>
      <c r="W171" s="13">
        <f>'Calcul R84'!X212</f>
        <v>10921</v>
      </c>
    </row>
    <row r="172" spans="1:23" x14ac:dyDescent="0.3">
      <c r="A172" s="461" t="s">
        <v>422</v>
      </c>
      <c r="B172" s="463">
        <f>B171/'Calcul Fr métro'!C247</f>
        <v>0.13033208174319832</v>
      </c>
      <c r="C172" s="496">
        <f>C171/'Calcul Fr métro'!D247</f>
        <v>0.13398506682478875</v>
      </c>
      <c r="D172" s="496">
        <f>D171/'Calcul Fr métro'!E247</f>
        <v>0.13216364298612027</v>
      </c>
      <c r="E172" s="496">
        <f>E171/'Calcul Fr métro'!F247</f>
        <v>0.12911822276725704</v>
      </c>
      <c r="F172" s="496">
        <f>F171/'Calcul Fr métro'!G247</f>
        <v>0.12467142320690951</v>
      </c>
      <c r="G172" s="496">
        <f>G171/'Calcul Fr métro'!H247</f>
        <v>0.12686431645019935</v>
      </c>
      <c r="H172" s="496">
        <f>H171/'Calcul Fr métro'!I247</f>
        <v>0.12514355867094373</v>
      </c>
      <c r="I172" s="496">
        <f>I171/'Calcul Fr métro'!J247</f>
        <v>0.11854957946530285</v>
      </c>
      <c r="J172" s="496">
        <f>J171/'Calcul Fr métro'!K247</f>
        <v>0.11732530024971263</v>
      </c>
      <c r="K172" s="496">
        <f>K171/'Calcul Fr métro'!L247</f>
        <v>0.1135420837671178</v>
      </c>
      <c r="L172" s="496">
        <f>L171/'Calcul Fr métro'!M247</f>
        <v>0.11272245209496645</v>
      </c>
      <c r="M172" s="496">
        <f>M171/'Calcul Fr métro'!N247</f>
        <v>0.10775975659423588</v>
      </c>
      <c r="N172" s="496">
        <f>N171/'Calcul Fr métro'!O247</f>
        <v>0.10536136335365096</v>
      </c>
      <c r="O172" s="496">
        <f>O171/'Calcul Fr métro'!P247</f>
        <v>9.1632605589339708E-2</v>
      </c>
      <c r="P172" s="455"/>
      <c r="Q172" s="455"/>
      <c r="R172" s="455"/>
      <c r="S172" s="455"/>
      <c r="T172" s="455"/>
      <c r="U172" s="455"/>
      <c r="V172" s="496">
        <f>V171/'Calcul Fr métro'!W247</f>
        <v>8.9472390627560211E-2</v>
      </c>
      <c r="W172" s="486"/>
    </row>
    <row r="173" spans="1:23" x14ac:dyDescent="0.3">
      <c r="A173" s="462" t="s">
        <v>472</v>
      </c>
      <c r="B173" s="12">
        <f>'Calcul R84'!C219</f>
        <v>86836.58</v>
      </c>
      <c r="C173" s="54">
        <f>'Calcul R84'!D219</f>
        <v>84596.644</v>
      </c>
      <c r="D173" s="54">
        <f>'Calcul R84'!E219</f>
        <v>89402.635999999999</v>
      </c>
      <c r="E173" s="54">
        <f>'Calcul R84'!F219</f>
        <v>94487.751999999993</v>
      </c>
      <c r="F173" s="54">
        <f>'Calcul R84'!G219</f>
        <v>93936.2</v>
      </c>
      <c r="G173" s="54">
        <f>'Calcul R84'!H219</f>
        <v>94816.475999999995</v>
      </c>
      <c r="H173" s="54">
        <f>'Calcul R84'!I219</f>
        <v>93897.14</v>
      </c>
      <c r="I173" s="54">
        <f>'Calcul R84'!J219</f>
        <v>91470.46</v>
      </c>
      <c r="J173" s="54">
        <f>'Calcul R84'!K219</f>
        <v>83584.06</v>
      </c>
      <c r="K173" s="54">
        <f>'Calcul R84'!L219</f>
        <v>78878.073999999993</v>
      </c>
      <c r="L173" s="54">
        <f>'Calcul R84'!M219</f>
        <v>77456.538</v>
      </c>
      <c r="M173" s="54">
        <f>'Calcul R84'!N219</f>
        <v>80225.457999999999</v>
      </c>
      <c r="N173" s="54">
        <f>'Calcul R84'!O219</f>
        <v>78956.937999999995</v>
      </c>
      <c r="O173" s="54">
        <f>'Calcul R84'!P219</f>
        <v>78535.462</v>
      </c>
      <c r="P173" s="54">
        <f>'Calcul R84'!Q219</f>
        <v>0</v>
      </c>
      <c r="Q173" s="54">
        <f>'Calcul R84'!R219</f>
        <v>0</v>
      </c>
      <c r="R173" s="54">
        <f>'Calcul R84'!S219</f>
        <v>0</v>
      </c>
      <c r="S173" s="54">
        <f>'Calcul R84'!T219</f>
        <v>0</v>
      </c>
      <c r="T173" s="54">
        <f>'Calcul R84'!U219</f>
        <v>0</v>
      </c>
      <c r="U173" s="54">
        <f>'Calcul R84'!V219</f>
        <v>0</v>
      </c>
      <c r="V173" s="54">
        <f>'Calcul R84'!W219</f>
        <v>77654.504000000001</v>
      </c>
      <c r="W173" s="13">
        <f>'Calcul R84'!X219</f>
        <v>77654.504000000001</v>
      </c>
    </row>
    <row r="174" spans="1:23" x14ac:dyDescent="0.3">
      <c r="A174" s="461" t="s">
        <v>422</v>
      </c>
      <c r="B174" s="463">
        <f>B173/'Calcul Fr métro'!C253</f>
        <v>0.10769530178006088</v>
      </c>
      <c r="C174" s="496">
        <f>C173/'Calcul Fr métro'!D253</f>
        <v>0.11118464776341921</v>
      </c>
      <c r="D174" s="496">
        <f>D173/'Calcul Fr métro'!E253</f>
        <v>0.11595251985475961</v>
      </c>
      <c r="E174" s="496">
        <f>E173/'Calcul Fr métro'!F253</f>
        <v>0.10748541995947422</v>
      </c>
      <c r="F174" s="496">
        <f>F173/'Calcul Fr métro'!G253</f>
        <v>0.10526450355325886</v>
      </c>
      <c r="G174" s="496">
        <f>G173/'Calcul Fr métro'!H253</f>
        <v>0.10229934004698298</v>
      </c>
      <c r="H174" s="496">
        <f>H173/'Calcul Fr métro'!I253</f>
        <v>0.10219941271794819</v>
      </c>
      <c r="I174" s="496">
        <f>I173/'Calcul Fr métro'!J253</f>
        <v>9.6417407716503437E-2</v>
      </c>
      <c r="J174" s="496">
        <f>J173/'Calcul Fr métro'!K253</f>
        <v>9.0972405965837749E-2</v>
      </c>
      <c r="K174" s="496">
        <f>K173/'Calcul Fr métro'!L253</f>
        <v>8.73050141330656E-2</v>
      </c>
      <c r="L174" s="496">
        <f>L173/'Calcul Fr métro'!M253</f>
        <v>8.4390050544904963E-2</v>
      </c>
      <c r="M174" s="496">
        <f>M173/'Calcul Fr métro'!N253</f>
        <v>8.4042532324600475E-2</v>
      </c>
      <c r="N174" s="496">
        <f>N173/'Calcul Fr métro'!O253</f>
        <v>8.2270199320144635E-2</v>
      </c>
      <c r="O174" s="496">
        <f>O173/'Calcul Fr métro'!P253</f>
        <v>9.0435363076242087E-2</v>
      </c>
      <c r="P174" s="455"/>
      <c r="Q174" s="455"/>
      <c r="R174" s="455"/>
      <c r="S174" s="455"/>
      <c r="T174" s="455"/>
      <c r="U174" s="455"/>
      <c r="V174" s="496">
        <f>V173/'Calcul Fr métro'!W253</f>
        <v>8.3717789639278631E-2</v>
      </c>
      <c r="W174" s="486"/>
    </row>
    <row r="175" spans="1:23" x14ac:dyDescent="0.3">
      <c r="A175" s="462" t="s">
        <v>473</v>
      </c>
      <c r="B175" s="12">
        <f>'Calcul R84'!C224</f>
        <v>2731522</v>
      </c>
      <c r="C175" s="54">
        <f>'Calcul R84'!D224</f>
        <v>2764365</v>
      </c>
      <c r="D175" s="54">
        <f>'Calcul R84'!E224</f>
        <v>2784325</v>
      </c>
      <c r="E175" s="54">
        <f>'Calcul R84'!F224</f>
        <v>2738462</v>
      </c>
      <c r="F175" s="54">
        <f>'Calcul R84'!G224</f>
        <v>2862342</v>
      </c>
      <c r="G175" s="54">
        <f>'Calcul R84'!H224</f>
        <v>2860693</v>
      </c>
      <c r="H175" s="54">
        <f>'Calcul R84'!I224</f>
        <v>2783423</v>
      </c>
      <c r="I175" s="54">
        <f>'Calcul R84'!J224</f>
        <v>2770537</v>
      </c>
      <c r="J175" s="54">
        <f>'Calcul R84'!K224</f>
        <v>2783655</v>
      </c>
      <c r="K175" s="54">
        <f>'Calcul R84'!L224</f>
        <v>2756931</v>
      </c>
      <c r="L175" s="54">
        <f>'Calcul R84'!M224</f>
        <v>2781736</v>
      </c>
      <c r="M175" s="54">
        <f>'Calcul R84'!N224</f>
        <v>2730817</v>
      </c>
      <c r="N175" s="54">
        <f>'Calcul R84'!O224</f>
        <v>2695121</v>
      </c>
      <c r="O175" s="54">
        <f>'Calcul R84'!P224</f>
        <v>2595634</v>
      </c>
      <c r="P175" s="54">
        <f>'Calcul R84'!Q224</f>
        <v>0</v>
      </c>
      <c r="Q175" s="54">
        <f>'Calcul R84'!R224</f>
        <v>0</v>
      </c>
      <c r="R175" s="54">
        <f>'Calcul R84'!S224</f>
        <v>0</v>
      </c>
      <c r="S175" s="54">
        <f>'Calcul R84'!T224</f>
        <v>0</v>
      </c>
      <c r="T175" s="54">
        <f>'Calcul R84'!U224</f>
        <v>0</v>
      </c>
      <c r="U175" s="54">
        <f>'Calcul R84'!V224</f>
        <v>0</v>
      </c>
      <c r="V175" s="54">
        <f>'Calcul R84'!W224</f>
        <v>2459949</v>
      </c>
      <c r="W175" s="13">
        <f>'Calcul R84'!X224</f>
        <v>2459949</v>
      </c>
    </row>
    <row r="176" spans="1:23" x14ac:dyDescent="0.3">
      <c r="A176" s="461" t="s">
        <v>422</v>
      </c>
      <c r="B176" s="463">
        <f>B175/'Calcul Fr métro'!C258</f>
        <v>0.11283161705220429</v>
      </c>
      <c r="C176" s="496">
        <f>C175/'Calcul Fr métro'!D258</f>
        <v>0.10944742721450039</v>
      </c>
      <c r="D176" s="496">
        <f>D175/'Calcul Fr métro'!E258</f>
        <v>0.1120222766344824</v>
      </c>
      <c r="E176" s="496">
        <f>E175/'Calcul Fr métro'!F258</f>
        <v>0.11151337291322336</v>
      </c>
      <c r="F176" s="496">
        <f>F175/'Calcul Fr métro'!G258</f>
        <v>0.11089577739809617</v>
      </c>
      <c r="G176" s="496">
        <f>G175/'Calcul Fr métro'!H258</f>
        <v>0.11029817826537983</v>
      </c>
      <c r="H176" s="496">
        <f>H175/'Calcul Fr métro'!I258</f>
        <v>0.10998955238289167</v>
      </c>
      <c r="I176" s="496">
        <f>I175/'Calcul Fr métro'!J258</f>
        <v>0.10947024930355645</v>
      </c>
      <c r="J176" s="496">
        <f>J175/'Calcul Fr métro'!K258</f>
        <v>0.1101613485990085</v>
      </c>
      <c r="K176" s="496">
        <f>K175/'Calcul Fr métro'!L258</f>
        <v>0.10875727443425275</v>
      </c>
      <c r="L176" s="496">
        <f>L175/'Calcul Fr métro'!M258</f>
        <v>0.10905012598993845</v>
      </c>
      <c r="M176" s="496">
        <f>M175/'Calcul Fr métro'!N258</f>
        <v>0.10890069839894478</v>
      </c>
      <c r="N176" s="496">
        <f>N175/'Calcul Fr métro'!O258</f>
        <v>0.10817632615813312</v>
      </c>
      <c r="O176" s="496">
        <f>O175/'Calcul Fr métro'!P258</f>
        <v>0.10729420747838601</v>
      </c>
      <c r="P176" s="455"/>
      <c r="Q176" s="455"/>
      <c r="R176" s="455"/>
      <c r="S176" s="455"/>
      <c r="T176" s="455"/>
      <c r="U176" s="455"/>
      <c r="V176" s="496">
        <f>V175/'Calcul Fr métro'!W258</f>
        <v>9.9482848316084435E-2</v>
      </c>
      <c r="W176" s="486"/>
    </row>
    <row r="177" spans="1:44" x14ac:dyDescent="0.3">
      <c r="A177" s="568" t="s">
        <v>613</v>
      </c>
    </row>
    <row r="179" spans="1:44" x14ac:dyDescent="0.3">
      <c r="A179" t="s">
        <v>464</v>
      </c>
    </row>
    <row r="180" spans="1:44" ht="28.8" x14ac:dyDescent="0.3">
      <c r="A180" s="466" t="s">
        <v>475</v>
      </c>
      <c r="B180" s="154" t="s">
        <v>465</v>
      </c>
      <c r="C180" s="154" t="s">
        <v>466</v>
      </c>
      <c r="D180" s="9" t="s">
        <v>467</v>
      </c>
    </row>
    <row r="181" spans="1:44" x14ac:dyDescent="0.3">
      <c r="A181" s="464" t="s">
        <v>476</v>
      </c>
      <c r="B181" s="108">
        <f>AVERAGE(B165:F165)</f>
        <v>143405</v>
      </c>
      <c r="C181" s="108">
        <f>W165</f>
        <v>115611</v>
      </c>
      <c r="D181" s="112">
        <f t="shared" ref="D181:D186" si="26">C181/B181-1</f>
        <v>-0.19381472054670335</v>
      </c>
    </row>
    <row r="182" spans="1:44" x14ac:dyDescent="0.3">
      <c r="A182" s="464" t="s">
        <v>477</v>
      </c>
      <c r="B182" s="108">
        <f>AVERAGE(B167:F167)</f>
        <v>90203</v>
      </c>
      <c r="C182" s="108">
        <f>W167</f>
        <v>81069</v>
      </c>
      <c r="D182" s="112">
        <f t="shared" si="26"/>
        <v>-0.10126049022759775</v>
      </c>
    </row>
    <row r="183" spans="1:44" x14ac:dyDescent="0.3">
      <c r="A183" s="464" t="s">
        <v>478</v>
      </c>
      <c r="B183" s="108">
        <f>AVERAGE(B169:F169)</f>
        <v>113939.6</v>
      </c>
      <c r="C183" s="108">
        <f>W169</f>
        <v>101317</v>
      </c>
      <c r="D183" s="112">
        <f t="shared" si="26"/>
        <v>-0.11078325709410952</v>
      </c>
    </row>
    <row r="184" spans="1:44" x14ac:dyDescent="0.3">
      <c r="A184" s="464" t="s">
        <v>479</v>
      </c>
      <c r="B184" s="108">
        <f>AVERAGE(B171:F171)</f>
        <v>16705.400000000001</v>
      </c>
      <c r="C184" s="108">
        <f>W171</f>
        <v>10921</v>
      </c>
      <c r="D184" s="112">
        <f t="shared" si="26"/>
        <v>-0.34625929340213346</v>
      </c>
    </row>
    <row r="185" spans="1:44" x14ac:dyDescent="0.3">
      <c r="A185" s="464" t="s">
        <v>432</v>
      </c>
      <c r="B185" s="108">
        <f>AVERAGE(B173:F173)</f>
        <v>89851.962399999989</v>
      </c>
      <c r="C185" s="108">
        <f>W173</f>
        <v>77654.504000000001</v>
      </c>
      <c r="D185" s="112">
        <f t="shared" si="26"/>
        <v>-0.13575060659999549</v>
      </c>
    </row>
    <row r="186" spans="1:44" x14ac:dyDescent="0.3">
      <c r="A186" s="465" t="s">
        <v>480</v>
      </c>
      <c r="B186" s="108">
        <f>AVERAGE(B175:F175)</f>
        <v>2776203.2</v>
      </c>
      <c r="C186" s="108">
        <f>W175</f>
        <v>2459949</v>
      </c>
      <c r="D186" s="112">
        <f t="shared" si="26"/>
        <v>-0.11391608510500961</v>
      </c>
    </row>
    <row r="188" spans="1:44" x14ac:dyDescent="0.3">
      <c r="A188" s="90" t="s">
        <v>534</v>
      </c>
      <c r="B188" s="199"/>
      <c r="C188" s="474">
        <v>2010</v>
      </c>
      <c r="D188" s="475">
        <v>2011</v>
      </c>
      <c r="E188" s="475">
        <v>2012</v>
      </c>
      <c r="F188" s="475">
        <v>2013</v>
      </c>
      <c r="G188" s="475">
        <v>2014</v>
      </c>
      <c r="H188" s="475">
        <v>2015</v>
      </c>
      <c r="I188" s="475">
        <v>2016</v>
      </c>
      <c r="J188" s="475">
        <v>2017</v>
      </c>
      <c r="K188" s="475">
        <v>2018</v>
      </c>
      <c r="L188" s="475">
        <v>2019</v>
      </c>
      <c r="M188" s="475">
        <v>2020</v>
      </c>
      <c r="N188" s="475">
        <v>2021</v>
      </c>
      <c r="O188" s="475">
        <v>2022</v>
      </c>
      <c r="P188" s="475">
        <v>2023</v>
      </c>
      <c r="Q188" s="475">
        <v>2024</v>
      </c>
      <c r="R188" s="475">
        <v>2025</v>
      </c>
      <c r="S188" s="475">
        <v>2026</v>
      </c>
      <c r="T188" s="475">
        <v>2027</v>
      </c>
      <c r="U188" s="475">
        <v>2028</v>
      </c>
      <c r="V188" s="475">
        <v>2029</v>
      </c>
      <c r="W188" s="476">
        <v>2030</v>
      </c>
      <c r="AR188"/>
    </row>
    <row r="189" spans="1:44" x14ac:dyDescent="0.3">
      <c r="A189" s="171" t="s">
        <v>434</v>
      </c>
      <c r="B189" s="492" t="s">
        <v>373</v>
      </c>
      <c r="C189" s="12">
        <f t="shared" ref="C189:P189" si="27">(B71+B75+B79)/1000</f>
        <v>3712.28044</v>
      </c>
      <c r="D189" s="54">
        <f t="shared" si="27"/>
        <v>3606.9883799999998</v>
      </c>
      <c r="E189" s="54">
        <f t="shared" si="27"/>
        <v>3783.5607099999997</v>
      </c>
      <c r="F189" s="54">
        <f t="shared" si="27"/>
        <v>3664.8350700000001</v>
      </c>
      <c r="G189" s="54">
        <f t="shared" si="27"/>
        <v>4026.2122100000001</v>
      </c>
      <c r="H189" s="54">
        <f t="shared" si="27"/>
        <v>3395.2387999999996</v>
      </c>
      <c r="I189" s="54">
        <f t="shared" si="27"/>
        <v>3508.8779800000002</v>
      </c>
      <c r="J189" s="54">
        <f t="shared" si="27"/>
        <v>3576.2932799999999</v>
      </c>
      <c r="K189" s="54">
        <f t="shared" si="27"/>
        <v>3242.0588700000003</v>
      </c>
      <c r="L189" s="54">
        <f t="shared" si="27"/>
        <v>3145.3065700000002</v>
      </c>
      <c r="M189" s="54">
        <f t="shared" si="27"/>
        <v>2979.1451499999998</v>
      </c>
      <c r="N189" s="54">
        <f t="shared" si="27"/>
        <v>3669.8783399999998</v>
      </c>
      <c r="O189" s="54">
        <f t="shared" si="27"/>
        <v>2842.9143899999999</v>
      </c>
      <c r="P189" s="54">
        <f t="shared" si="27"/>
        <v>3174.5932699999998</v>
      </c>
      <c r="Q189" s="54"/>
      <c r="R189" s="54"/>
      <c r="S189" s="54"/>
      <c r="T189" s="54"/>
      <c r="U189" s="54"/>
      <c r="V189" s="54"/>
      <c r="W189" s="13"/>
      <c r="AR189"/>
    </row>
    <row r="190" spans="1:44" x14ac:dyDescent="0.3">
      <c r="A190" s="24"/>
      <c r="B190" s="423" t="s">
        <v>536</v>
      </c>
      <c r="C190" s="16"/>
      <c r="D190" s="47"/>
      <c r="E190" s="47"/>
      <c r="F190" s="47"/>
      <c r="G190" s="47"/>
      <c r="H190" s="47"/>
      <c r="I190" s="47"/>
      <c r="J190" s="47"/>
      <c r="K190" s="47"/>
      <c r="L190" s="47"/>
      <c r="M190" s="47"/>
      <c r="N190" s="47"/>
      <c r="O190" s="47"/>
      <c r="P190" s="47">
        <f>P189</f>
        <v>3174.5932699999998</v>
      </c>
      <c r="Q190" s="47">
        <f>$W$190+6*($P$190-$W$190)/7</f>
        <v>3162.1425414285713</v>
      </c>
      <c r="R190" s="47">
        <f>$W$190+5*($P$190-$W$190)/7</f>
        <v>3149.6918128571428</v>
      </c>
      <c r="S190" s="47">
        <f>$W$190+4*($P$190-$W$190)/7</f>
        <v>3137.2410842857144</v>
      </c>
      <c r="T190" s="47">
        <f>$W$190+3*($P$190-$W$190)/7</f>
        <v>3124.7903557142854</v>
      </c>
      <c r="U190" s="47">
        <f>$W$190+2*($P$190-$W$190)/7</f>
        <v>3112.3396271428569</v>
      </c>
      <c r="V190" s="47">
        <f>$W$190+1*($P$190-$W$190)/7</f>
        <v>3099.8888985714284</v>
      </c>
      <c r="W190" s="17">
        <f>(V71+V75+V79)/1000</f>
        <v>3087.4381699999999</v>
      </c>
      <c r="AR190"/>
    </row>
    <row r="191" spans="1:44" x14ac:dyDescent="0.3">
      <c r="A191" s="25"/>
      <c r="B191" s="493" t="s">
        <v>539</v>
      </c>
      <c r="C191" s="16"/>
      <c r="D191" s="47"/>
      <c r="E191" s="47"/>
      <c r="F191" s="47"/>
      <c r="G191" s="47"/>
      <c r="H191" s="47"/>
      <c r="I191" s="47"/>
      <c r="J191" s="47"/>
      <c r="K191" s="47"/>
      <c r="L191" s="47"/>
      <c r="M191" s="47"/>
      <c r="N191" s="47"/>
      <c r="O191" s="47"/>
      <c r="P191" s="47">
        <f>P189</f>
        <v>3174.5932699999998</v>
      </c>
      <c r="Q191" s="47">
        <f>$W$191+6*($P$191-$W$191)/7</f>
        <v>3162.1425414285713</v>
      </c>
      <c r="R191" s="47">
        <f>$W$191+5*($P$191-$W$191)/7</f>
        <v>3149.6918128571428</v>
      </c>
      <c r="S191" s="47">
        <f>$W$191+4*($P$191-$W$191)/7</f>
        <v>3137.2410842857144</v>
      </c>
      <c r="T191" s="47">
        <f>$W$191+3*($P$191-$W$191)/7</f>
        <v>3124.7903557142854</v>
      </c>
      <c r="U191" s="47">
        <f>$W$191+2*($P$191-$W$191)/7</f>
        <v>3112.3396271428569</v>
      </c>
      <c r="V191" s="47">
        <f>$W$191+1*($P$191-$W$191)/7</f>
        <v>3099.8888985714284</v>
      </c>
      <c r="W191" s="17">
        <f>(W71+W75+W79)/1000</f>
        <v>3087.4381699999999</v>
      </c>
      <c r="AR191"/>
    </row>
    <row r="192" spans="1:44" x14ac:dyDescent="0.3">
      <c r="A192" s="335" t="s">
        <v>602</v>
      </c>
      <c r="B192" s="492" t="s">
        <v>373</v>
      </c>
      <c r="C192" s="12">
        <f t="shared" ref="C192:P192" si="28">(B83+B87+B91)/1000</f>
        <v>193.1772</v>
      </c>
      <c r="D192" s="54">
        <f t="shared" si="28"/>
        <v>225.62260000000001</v>
      </c>
      <c r="E192" s="54">
        <f t="shared" si="28"/>
        <v>215.71713</v>
      </c>
      <c r="F192" s="54">
        <f t="shared" si="28"/>
        <v>182.20569999999998</v>
      </c>
      <c r="G192" s="54">
        <f t="shared" si="28"/>
        <v>225.05005000000003</v>
      </c>
      <c r="H192" s="54">
        <f t="shared" si="28"/>
        <v>199.96468999999999</v>
      </c>
      <c r="I192" s="54">
        <f t="shared" si="28"/>
        <v>236.43308999999999</v>
      </c>
      <c r="J192" s="54">
        <f t="shared" si="28"/>
        <v>278.69159999999999</v>
      </c>
      <c r="K192" s="54">
        <f t="shared" si="28"/>
        <v>264.16575</v>
      </c>
      <c r="L192" s="54">
        <f t="shared" si="28"/>
        <v>190.66085000000001</v>
      </c>
      <c r="M192" s="54">
        <f t="shared" si="28"/>
        <v>193.47767999999999</v>
      </c>
      <c r="N192" s="54">
        <f t="shared" si="28"/>
        <v>214.91881000000001</v>
      </c>
      <c r="O192" s="54">
        <f t="shared" si="28"/>
        <v>256.77521000000002</v>
      </c>
      <c r="P192" s="54">
        <f t="shared" si="28"/>
        <v>291.45480000000003</v>
      </c>
      <c r="Q192" s="54"/>
      <c r="R192" s="54"/>
      <c r="S192" s="54"/>
      <c r="T192" s="54"/>
      <c r="U192" s="54"/>
      <c r="V192" s="54"/>
      <c r="W192" s="13"/>
      <c r="AR192"/>
    </row>
    <row r="193" spans="1:44" x14ac:dyDescent="0.3">
      <c r="A193" s="363"/>
      <c r="B193" s="423" t="s">
        <v>536</v>
      </c>
      <c r="C193" s="16"/>
      <c r="D193" s="47"/>
      <c r="E193" s="47"/>
      <c r="F193" s="47"/>
      <c r="G193" s="47"/>
      <c r="H193" s="47"/>
      <c r="I193" s="47"/>
      <c r="J193" s="47"/>
      <c r="K193" s="47"/>
      <c r="L193" s="47"/>
      <c r="M193" s="47"/>
      <c r="N193" s="47"/>
      <c r="O193" s="47"/>
      <c r="P193" s="47">
        <f>P192</f>
        <v>291.45480000000003</v>
      </c>
      <c r="Q193" s="47">
        <f>$W$193+6*($P$193-$W$193)/7</f>
        <v>284.98895285714286</v>
      </c>
      <c r="R193" s="47">
        <f>$W$193+5*($P$193-$W$193)/7</f>
        <v>278.52310571428575</v>
      </c>
      <c r="S193" s="47">
        <f>$W$193+4*($P$193-$W$193)/7</f>
        <v>272.05725857142858</v>
      </c>
      <c r="T193" s="47">
        <f>$W$193+3*($P$193-$W$193)/7</f>
        <v>265.59141142857146</v>
      </c>
      <c r="U193" s="47">
        <f>$W$193+2*($P$193-$W$193)/7</f>
        <v>259.12556428571429</v>
      </c>
      <c r="V193" s="47">
        <f>$W$193+1*($P$193-$W$193)/7</f>
        <v>252.65971714285715</v>
      </c>
      <c r="W193" s="17">
        <f>(V83+V87+V91)/1000</f>
        <v>246.19387</v>
      </c>
      <c r="AR193"/>
    </row>
    <row r="194" spans="1:44" x14ac:dyDescent="0.3">
      <c r="A194" s="338"/>
      <c r="B194" s="493" t="s">
        <v>539</v>
      </c>
      <c r="C194" s="477"/>
      <c r="D194" s="455"/>
      <c r="E194" s="455"/>
      <c r="F194" s="455"/>
      <c r="G194" s="455"/>
      <c r="H194" s="455"/>
      <c r="I194" s="455"/>
      <c r="J194" s="455"/>
      <c r="K194" s="455"/>
      <c r="L194" s="455"/>
      <c r="M194" s="455"/>
      <c r="N194" s="455"/>
      <c r="O194" s="455"/>
      <c r="P194" s="455">
        <f>P192</f>
        <v>291.45480000000003</v>
      </c>
      <c r="Q194" s="455">
        <f>$W$194+6*($P$194-$W$194)/7</f>
        <v>284.98895285714286</v>
      </c>
      <c r="R194" s="455">
        <f>$W$194+5*($P$194-$W$194)/7</f>
        <v>278.52310571428575</v>
      </c>
      <c r="S194" s="455">
        <f>$W$194+4*($P$194-$W$194)/7</f>
        <v>272.05725857142858</v>
      </c>
      <c r="T194" s="455">
        <f>$W$194+3*($P$194-$W$194)/7</f>
        <v>265.59141142857146</v>
      </c>
      <c r="U194" s="455">
        <f>$W$194+2*($P$194-$W$194)/7</f>
        <v>259.12556428571429</v>
      </c>
      <c r="V194" s="455">
        <f>$W$194+1*($P$194-$W$194)/7</f>
        <v>252.65971714285715</v>
      </c>
      <c r="W194" s="412">
        <f>(W83+W87+W91)/1000</f>
        <v>246.19387</v>
      </c>
      <c r="AR194"/>
    </row>
    <row r="195" spans="1:44" x14ac:dyDescent="0.3">
      <c r="A195" s="335" t="s">
        <v>137</v>
      </c>
      <c r="B195" s="492" t="s">
        <v>373</v>
      </c>
      <c r="C195" s="12">
        <f t="shared" ref="C195:P195" si="29">B95/1000</f>
        <v>26.290410000000001</v>
      </c>
      <c r="D195" s="54">
        <f t="shared" si="29"/>
        <v>18.537649999999999</v>
      </c>
      <c r="E195" s="54">
        <f t="shared" si="29"/>
        <v>13.81842</v>
      </c>
      <c r="F195" s="54">
        <f t="shared" si="29"/>
        <v>11.278079999999999</v>
      </c>
      <c r="G195" s="54">
        <f t="shared" si="29"/>
        <v>13.800600000000001</v>
      </c>
      <c r="H195" s="54">
        <f t="shared" si="29"/>
        <v>16.665089999999999</v>
      </c>
      <c r="I195" s="54">
        <f t="shared" si="29"/>
        <v>18.37266</v>
      </c>
      <c r="J195" s="54">
        <f t="shared" si="29"/>
        <v>23.142449999999997</v>
      </c>
      <c r="K195" s="54">
        <f t="shared" si="29"/>
        <v>18.381360000000001</v>
      </c>
      <c r="L195" s="54">
        <f t="shared" si="29"/>
        <v>18.369559999999996</v>
      </c>
      <c r="M195" s="54">
        <f t="shared" si="29"/>
        <v>16.51886</v>
      </c>
      <c r="N195" s="54">
        <f t="shared" si="29"/>
        <v>14.830830000000001</v>
      </c>
      <c r="O195" s="54">
        <f t="shared" si="29"/>
        <v>11.90025</v>
      </c>
      <c r="P195" s="54">
        <f t="shared" si="29"/>
        <v>13.525300000000001</v>
      </c>
      <c r="Q195" s="54"/>
      <c r="R195" s="54"/>
      <c r="S195" s="54"/>
      <c r="T195" s="54"/>
      <c r="U195" s="54"/>
      <c r="V195" s="54"/>
      <c r="W195" s="13"/>
      <c r="AR195"/>
    </row>
    <row r="196" spans="1:44" x14ac:dyDescent="0.3">
      <c r="A196" s="363"/>
      <c r="B196" s="423" t="s">
        <v>536</v>
      </c>
      <c r="C196" s="16"/>
      <c r="D196" s="47"/>
      <c r="E196" s="47"/>
      <c r="F196" s="47"/>
      <c r="G196" s="47"/>
      <c r="H196" s="47"/>
      <c r="I196" s="47"/>
      <c r="J196" s="47"/>
      <c r="K196" s="47"/>
      <c r="L196" s="47"/>
      <c r="M196" s="47"/>
      <c r="N196" s="47"/>
      <c r="O196" s="47"/>
      <c r="P196" s="47">
        <f>P195</f>
        <v>13.525300000000001</v>
      </c>
      <c r="Q196" s="47">
        <f>$W$196+6*($P$196-$W$196)/7</f>
        <v>13.553528571428572</v>
      </c>
      <c r="R196" s="47">
        <f>$W$196+5*($P$196-$W$196)/7</f>
        <v>13.581757142857144</v>
      </c>
      <c r="S196" s="47">
        <f>$W$196+4*($P$196-$W$196)/7</f>
        <v>13.609985714285715</v>
      </c>
      <c r="T196" s="47">
        <f>$W$196+3*($P$196-$W$196)/7</f>
        <v>13.638214285714286</v>
      </c>
      <c r="U196" s="47">
        <f>$W$196+2*($P$196-$W$196)/7</f>
        <v>13.666442857142856</v>
      </c>
      <c r="V196" s="47">
        <f>$W$196+1*($P$196-$W$196)/7</f>
        <v>13.694671428571429</v>
      </c>
      <c r="W196" s="17">
        <f>V95/1000</f>
        <v>13.722899999999999</v>
      </c>
      <c r="AR196"/>
    </row>
    <row r="197" spans="1:44" x14ac:dyDescent="0.3">
      <c r="A197" s="338"/>
      <c r="B197" s="493" t="s">
        <v>539</v>
      </c>
      <c r="C197" s="477"/>
      <c r="D197" s="455"/>
      <c r="E197" s="455"/>
      <c r="F197" s="455"/>
      <c r="G197" s="455"/>
      <c r="H197" s="455"/>
      <c r="I197" s="455"/>
      <c r="J197" s="455"/>
      <c r="K197" s="455"/>
      <c r="L197" s="455"/>
      <c r="M197" s="455"/>
      <c r="N197" s="455"/>
      <c r="O197" s="455"/>
      <c r="P197" s="455">
        <f>P195</f>
        <v>13.525300000000001</v>
      </c>
      <c r="Q197" s="455">
        <f>$W$197+6*($P$197-$W$197)/7</f>
        <v>13.553528571428572</v>
      </c>
      <c r="R197" s="455">
        <f>$W$197+5*($P$197-$W$197)/7</f>
        <v>13.581757142857144</v>
      </c>
      <c r="S197" s="455">
        <f>$W$197+4*($P$197-$W$197)/7</f>
        <v>13.609985714285715</v>
      </c>
      <c r="T197" s="455">
        <f>$W$197+3*($P$197-$W$197)/7</f>
        <v>13.638214285714286</v>
      </c>
      <c r="U197" s="455">
        <f>$W$197+2*($P$197-$W$197)/7</f>
        <v>13.666442857142856</v>
      </c>
      <c r="V197" s="455">
        <f>$W$197+1*($P$197-$W$197)/7</f>
        <v>13.694671428571429</v>
      </c>
      <c r="W197" s="412">
        <f>W95/1000</f>
        <v>13.722899999999999</v>
      </c>
      <c r="AR197"/>
    </row>
    <row r="198" spans="1:44" x14ac:dyDescent="0.3">
      <c r="A198" s="335" t="s">
        <v>517</v>
      </c>
      <c r="B198" s="471" t="s">
        <v>373</v>
      </c>
      <c r="C198" s="12">
        <f t="shared" ref="C198:P198" si="30">(B99+B107+B111+B115+B119+B123)/1000</f>
        <v>151.45699999999999</v>
      </c>
      <c r="D198" s="54">
        <f t="shared" si="30"/>
        <v>158.87979999999999</v>
      </c>
      <c r="E198" s="54">
        <f t="shared" si="30"/>
        <v>163.69540000000001</v>
      </c>
      <c r="F198" s="54">
        <f t="shared" si="30"/>
        <v>151.45659999999998</v>
      </c>
      <c r="G198" s="54">
        <f t="shared" si="30"/>
        <v>146.62879999999998</v>
      </c>
      <c r="H198" s="54">
        <f t="shared" si="30"/>
        <v>145.53229999999999</v>
      </c>
      <c r="I198" s="54">
        <f t="shared" si="30"/>
        <v>148.07290000000003</v>
      </c>
      <c r="J198" s="54">
        <f t="shared" si="30"/>
        <v>146.99539999999999</v>
      </c>
      <c r="K198" s="54">
        <f t="shared" si="30"/>
        <v>152.3965</v>
      </c>
      <c r="L198" s="54">
        <f t="shared" si="30"/>
        <v>144.8819</v>
      </c>
      <c r="M198" s="54">
        <f t="shared" si="30"/>
        <v>150.85310000000001</v>
      </c>
      <c r="N198" s="54">
        <f t="shared" si="30"/>
        <v>159.61449999999999</v>
      </c>
      <c r="O198" s="54">
        <f t="shared" si="30"/>
        <v>140.63279999999997</v>
      </c>
      <c r="P198" s="54">
        <f t="shared" si="30"/>
        <v>130.36500000000001</v>
      </c>
      <c r="Q198" s="54"/>
      <c r="R198" s="54"/>
      <c r="S198" s="54"/>
      <c r="T198" s="54"/>
      <c r="U198" s="54"/>
      <c r="V198" s="54"/>
      <c r="W198" s="13"/>
      <c r="AR198"/>
    </row>
    <row r="199" spans="1:44" x14ac:dyDescent="0.3">
      <c r="A199" s="363" t="s">
        <v>379</v>
      </c>
      <c r="B199" s="423" t="s">
        <v>536</v>
      </c>
      <c r="C199" s="16"/>
      <c r="D199" s="47"/>
      <c r="E199" s="47"/>
      <c r="F199" s="47"/>
      <c r="G199" s="47"/>
      <c r="H199" s="47"/>
      <c r="I199" s="47"/>
      <c r="J199" s="47"/>
      <c r="K199" s="47"/>
      <c r="L199" s="47"/>
      <c r="M199" s="47"/>
      <c r="N199" s="47"/>
      <c r="O199" s="47"/>
      <c r="P199" s="47">
        <f>P198</f>
        <v>130.36500000000001</v>
      </c>
      <c r="Q199" s="47">
        <f>$W$199+6*($P$199-$W$199)/7</f>
        <v>132.22466666666668</v>
      </c>
      <c r="R199" s="47">
        <f>$W$199+5*($P$199-$W$199)/7</f>
        <v>134.08433333333335</v>
      </c>
      <c r="S199" s="47">
        <f>$W$199+4*($P$199-$W$199)/7</f>
        <v>135.94400000000002</v>
      </c>
      <c r="T199" s="47">
        <f>$W$199+3*($P$199-$W$199)/7</f>
        <v>137.80366666666669</v>
      </c>
      <c r="U199" s="47">
        <f>$W$199+2*($P$199-$W$199)/7</f>
        <v>139.66333333333336</v>
      </c>
      <c r="V199" s="47">
        <f>$W$199+1*($P$199-$W$199)/7</f>
        <v>141.52300000000002</v>
      </c>
      <c r="W199" s="17">
        <f>(V99+V107+V111+V115+V119+V123)/1000</f>
        <v>143.38266666666669</v>
      </c>
      <c r="AR199"/>
    </row>
    <row r="200" spans="1:44" x14ac:dyDescent="0.3">
      <c r="A200" s="338"/>
      <c r="B200" s="493" t="s">
        <v>539</v>
      </c>
      <c r="C200" s="477"/>
      <c r="D200" s="455"/>
      <c r="E200" s="455"/>
      <c r="F200" s="455"/>
      <c r="G200" s="455"/>
      <c r="H200" s="455"/>
      <c r="I200" s="455"/>
      <c r="J200" s="455"/>
      <c r="K200" s="455"/>
      <c r="L200" s="455"/>
      <c r="M200" s="455"/>
      <c r="N200" s="455"/>
      <c r="O200" s="455"/>
      <c r="P200" s="455">
        <f>P198</f>
        <v>130.36500000000001</v>
      </c>
      <c r="Q200" s="455">
        <f>$W$200+6*($P$200-$W$200)/7</f>
        <v>132.22466666666668</v>
      </c>
      <c r="R200" s="455">
        <f>$W$200+5*($P$200-$W$200)/7</f>
        <v>134.08433333333335</v>
      </c>
      <c r="S200" s="455">
        <f>$W$200+4*($P$200-$W$200)/7</f>
        <v>135.94400000000002</v>
      </c>
      <c r="T200" s="455">
        <f>$W$200+3*($P$200-$W$200)/7</f>
        <v>137.80366666666669</v>
      </c>
      <c r="U200" s="455">
        <f>$W$200+2*($P$200-$W$200)/7</f>
        <v>139.66333333333336</v>
      </c>
      <c r="V200" s="455">
        <f>$W$200+1*($P$200-$W$200)/7</f>
        <v>141.52300000000002</v>
      </c>
      <c r="W200" s="412">
        <f>(W99+W107+W111+W115+W119+W123)/1000</f>
        <v>143.38266666666669</v>
      </c>
      <c r="AR200"/>
    </row>
    <row r="201" spans="1:44" x14ac:dyDescent="0.3">
      <c r="A201" s="335" t="s">
        <v>518</v>
      </c>
      <c r="B201" s="471" t="s">
        <v>373</v>
      </c>
      <c r="C201" s="12">
        <f t="shared" ref="C201:P201" si="31">B103/1000</f>
        <v>60.016599999999997</v>
      </c>
      <c r="D201" s="54">
        <f t="shared" si="31"/>
        <v>73.0398</v>
      </c>
      <c r="E201" s="54">
        <f t="shared" si="31"/>
        <v>71.426000000000002</v>
      </c>
      <c r="F201" s="54">
        <f t="shared" si="31"/>
        <v>75.942599999999985</v>
      </c>
      <c r="G201" s="54">
        <f t="shared" si="31"/>
        <v>89.603399999999993</v>
      </c>
      <c r="H201" s="54">
        <f t="shared" si="31"/>
        <v>84.96</v>
      </c>
      <c r="I201" s="54">
        <f t="shared" si="31"/>
        <v>98.366399999999999</v>
      </c>
      <c r="J201" s="54">
        <f t="shared" si="31"/>
        <v>100.6036</v>
      </c>
      <c r="K201" s="54">
        <f t="shared" si="31"/>
        <v>107.84399999999999</v>
      </c>
      <c r="L201" s="54">
        <f t="shared" si="31"/>
        <v>114.123</v>
      </c>
      <c r="M201" s="54">
        <f t="shared" si="31"/>
        <v>124.54169999999999</v>
      </c>
      <c r="N201" s="54">
        <f t="shared" si="31"/>
        <v>114.22799999999999</v>
      </c>
      <c r="O201" s="54">
        <f t="shared" si="31"/>
        <v>95.507300000000001</v>
      </c>
      <c r="P201" s="54">
        <f t="shared" si="31"/>
        <v>110.3554</v>
      </c>
      <c r="Q201" s="54"/>
      <c r="R201" s="54"/>
      <c r="S201" s="54"/>
      <c r="T201" s="54"/>
      <c r="U201" s="54"/>
      <c r="V201" s="54"/>
      <c r="W201" s="13"/>
      <c r="AR201"/>
    </row>
    <row r="202" spans="1:44" x14ac:dyDescent="0.3">
      <c r="A202" s="363"/>
      <c r="B202" s="423" t="s">
        <v>536</v>
      </c>
      <c r="C202" s="16"/>
      <c r="D202" s="47"/>
      <c r="E202" s="47"/>
      <c r="F202" s="47"/>
      <c r="G202" s="47"/>
      <c r="H202" s="47"/>
      <c r="I202" s="47"/>
      <c r="J202" s="47"/>
      <c r="K202" s="47"/>
      <c r="L202" s="47"/>
      <c r="M202" s="47"/>
      <c r="N202" s="47"/>
      <c r="O202" s="47"/>
      <c r="P202" s="47">
        <f>P201</f>
        <v>110.3554</v>
      </c>
      <c r="Q202" s="47">
        <f>$W$202+6*($P$202-$W$202)/7</f>
        <v>110.58539047619048</v>
      </c>
      <c r="R202" s="47">
        <f>$W$202+5*($P$202-$W$202)/7</f>
        <v>110.81538095238096</v>
      </c>
      <c r="S202" s="47">
        <f>$W$202+4*($P$202-$W$202)/7</f>
        <v>111.04537142857144</v>
      </c>
      <c r="T202" s="47">
        <f>$W$202+3*($P$202-$W$202)/7</f>
        <v>111.27536190476191</v>
      </c>
      <c r="U202" s="47">
        <f>$W$202+2*($P$202-$W$202)/7</f>
        <v>111.50535238095239</v>
      </c>
      <c r="V202" s="47">
        <f>$W$202+1*($P$202-$W$202)/7</f>
        <v>111.73534285714287</v>
      </c>
      <c r="W202" s="17">
        <f>V103/1000</f>
        <v>111.96533333333335</v>
      </c>
      <c r="AR202"/>
    </row>
    <row r="203" spans="1:44" x14ac:dyDescent="0.3">
      <c r="A203" s="338"/>
      <c r="B203" s="493" t="s">
        <v>539</v>
      </c>
      <c r="C203" s="477"/>
      <c r="D203" s="455"/>
      <c r="E203" s="455"/>
      <c r="F203" s="455"/>
      <c r="G203" s="455"/>
      <c r="H203" s="455"/>
      <c r="I203" s="455"/>
      <c r="J203" s="455"/>
      <c r="K203" s="455"/>
      <c r="L203" s="455"/>
      <c r="M203" s="455"/>
      <c r="N203" s="455"/>
      <c r="O203" s="455"/>
      <c r="P203" s="455">
        <f>P201</f>
        <v>110.3554</v>
      </c>
      <c r="Q203" s="47">
        <f>$W$203+6*($P$203-$W$203)/7</f>
        <v>110.58539047619048</v>
      </c>
      <c r="R203" s="47">
        <f>$W$203+5*($P$203-$W$203)/7</f>
        <v>110.81538095238096</v>
      </c>
      <c r="S203" s="47">
        <f>$W$203+4*($P$203-$W$203)/7</f>
        <v>111.04537142857144</v>
      </c>
      <c r="T203" s="47">
        <f>$W$203+3*($P$203-$W$203)/7</f>
        <v>111.27536190476191</v>
      </c>
      <c r="U203" s="47">
        <f>$W$203+2*($P$203-$W$203)/7</f>
        <v>111.50535238095239</v>
      </c>
      <c r="V203" s="47">
        <f>$W$203+1*($P$203-$W$203)/7</f>
        <v>111.73534285714287</v>
      </c>
      <c r="W203" s="412">
        <f>W103/1000</f>
        <v>111.96533333333335</v>
      </c>
      <c r="AR203"/>
    </row>
    <row r="204" spans="1:44" x14ac:dyDescent="0.3">
      <c r="A204" s="335" t="s">
        <v>438</v>
      </c>
      <c r="B204" s="471" t="s">
        <v>373</v>
      </c>
      <c r="C204" s="12">
        <f t="shared" ref="C204:P204" si="32">(B127+B131+B135+B139)/1000</f>
        <v>281.62479999999999</v>
      </c>
      <c r="D204" s="54">
        <f t="shared" si="32"/>
        <v>307.26140000000004</v>
      </c>
      <c r="E204" s="54">
        <f t="shared" si="32"/>
        <v>275.99490000000003</v>
      </c>
      <c r="F204" s="54">
        <f t="shared" si="32"/>
        <v>248.72630000000001</v>
      </c>
      <c r="G204" s="54">
        <f t="shared" si="32"/>
        <v>300.22379999999998</v>
      </c>
      <c r="H204" s="54">
        <f t="shared" si="32"/>
        <v>287.66759999999999</v>
      </c>
      <c r="I204" s="54">
        <f t="shared" si="32"/>
        <v>231.78159999999997</v>
      </c>
      <c r="J204" s="54">
        <f t="shared" si="32"/>
        <v>258.82580000000002</v>
      </c>
      <c r="K204" s="54">
        <f t="shared" si="32"/>
        <v>232.39869999999999</v>
      </c>
      <c r="L204" s="54">
        <f t="shared" si="32"/>
        <v>240.12640000000002</v>
      </c>
      <c r="M204" s="54">
        <f t="shared" si="32"/>
        <v>205.34890000000001</v>
      </c>
      <c r="N204" s="54">
        <f t="shared" si="32"/>
        <v>111.99610000000001</v>
      </c>
      <c r="O204" s="54">
        <f t="shared" si="32"/>
        <v>222.21669999999997</v>
      </c>
      <c r="P204" s="54">
        <f t="shared" si="32"/>
        <v>222.12920000000003</v>
      </c>
      <c r="Q204" s="54"/>
      <c r="R204" s="54"/>
      <c r="S204" s="54"/>
      <c r="T204" s="54"/>
      <c r="U204" s="54"/>
      <c r="V204" s="54"/>
      <c r="W204" s="13"/>
      <c r="AR204"/>
    </row>
    <row r="205" spans="1:44" x14ac:dyDescent="0.3">
      <c r="A205" s="363"/>
      <c r="B205" s="423" t="s">
        <v>536</v>
      </c>
      <c r="C205" s="16"/>
      <c r="D205" s="47"/>
      <c r="E205" s="47"/>
      <c r="F205" s="47"/>
      <c r="G205" s="47"/>
      <c r="H205" s="47"/>
      <c r="I205" s="47"/>
      <c r="J205" s="47"/>
      <c r="K205" s="47"/>
      <c r="L205" s="47"/>
      <c r="M205" s="47"/>
      <c r="N205" s="47"/>
      <c r="O205" s="47"/>
      <c r="P205" s="47">
        <f>P204</f>
        <v>222.12920000000003</v>
      </c>
      <c r="Q205" s="47">
        <f>$W$205+6*($P$205-$W$205)/7</f>
        <v>216.1031142857143</v>
      </c>
      <c r="R205" s="47">
        <f>$W$205+5*($P$205-$W$205)/7</f>
        <v>210.0770285714286</v>
      </c>
      <c r="S205" s="47">
        <f>$W$205+4*($P$205-$W$205)/7</f>
        <v>204.05094285714287</v>
      </c>
      <c r="T205" s="47">
        <f>$W$205+3*($P$205-$W$205)/7</f>
        <v>198.02485714285714</v>
      </c>
      <c r="U205" s="47">
        <f>$W$205+2*($P$205-$W$205)/7</f>
        <v>191.99877142857142</v>
      </c>
      <c r="V205" s="47">
        <f>$W$205+1*($P$205-$W$205)/7</f>
        <v>185.97268571428572</v>
      </c>
      <c r="W205" s="17">
        <f>(V127+V131+V135+V139)/1000</f>
        <v>179.94659999999999</v>
      </c>
      <c r="AR205"/>
    </row>
    <row r="206" spans="1:44" x14ac:dyDescent="0.3">
      <c r="A206" s="338"/>
      <c r="B206" s="493" t="s">
        <v>539</v>
      </c>
      <c r="C206" s="477"/>
      <c r="D206" s="455"/>
      <c r="E206" s="455"/>
      <c r="F206" s="455"/>
      <c r="G206" s="455"/>
      <c r="H206" s="455"/>
      <c r="I206" s="455"/>
      <c r="J206" s="455"/>
      <c r="K206" s="455"/>
      <c r="L206" s="455"/>
      <c r="M206" s="455"/>
      <c r="N206" s="455"/>
      <c r="O206" s="455"/>
      <c r="P206" s="455">
        <f>P204</f>
        <v>222.12920000000003</v>
      </c>
      <c r="Q206" s="455">
        <f>$W$206+6*($P$206-$W$206)/7</f>
        <v>216.1031142857143</v>
      </c>
      <c r="R206" s="455">
        <f>$W$206+5*($P$206-$W$206)/7</f>
        <v>210.0770285714286</v>
      </c>
      <c r="S206" s="455">
        <f>$W$206+4*($P$206-$W$206)/7</f>
        <v>204.05094285714287</v>
      </c>
      <c r="T206" s="455">
        <f>$W$206+3*($P$206-$W$206)/7</f>
        <v>198.02485714285714</v>
      </c>
      <c r="U206" s="455">
        <f>$W$206+2*($P$206-$W$206)/7</f>
        <v>191.99877142857142</v>
      </c>
      <c r="V206" s="455">
        <f>$W$206+1*($P$206-$W$206)/7</f>
        <v>185.97268571428572</v>
      </c>
      <c r="W206" s="412">
        <f>(W127+W131+W135+W139)/1000</f>
        <v>179.94659999999999</v>
      </c>
      <c r="AR206"/>
    </row>
    <row r="207" spans="1:44" x14ac:dyDescent="0.3">
      <c r="A207" s="341" t="s">
        <v>519</v>
      </c>
      <c r="B207" s="471" t="s">
        <v>373</v>
      </c>
      <c r="C207" s="12">
        <f t="shared" ref="C207:P207" si="33">(B165+B171)/1000</f>
        <v>164.15799999999999</v>
      </c>
      <c r="D207" s="54">
        <f t="shared" si="33"/>
        <v>172.18899999999999</v>
      </c>
      <c r="E207" s="54">
        <f t="shared" si="33"/>
        <v>157.23099999999999</v>
      </c>
      <c r="F207" s="54">
        <f t="shared" si="33"/>
        <v>152.28200000000001</v>
      </c>
      <c r="G207" s="54">
        <f t="shared" si="33"/>
        <v>154.69200000000001</v>
      </c>
      <c r="H207" s="54">
        <f t="shared" si="33"/>
        <v>161.70500000000001</v>
      </c>
      <c r="I207" s="54">
        <f t="shared" si="33"/>
        <v>164.27099999999999</v>
      </c>
      <c r="J207" s="54">
        <f t="shared" si="33"/>
        <v>162.59</v>
      </c>
      <c r="K207" s="54">
        <f t="shared" si="33"/>
        <v>161.35</v>
      </c>
      <c r="L207" s="54">
        <f t="shared" si="33"/>
        <v>156.458</v>
      </c>
      <c r="M207" s="54">
        <f t="shared" si="33"/>
        <v>153.512</v>
      </c>
      <c r="N207" s="54">
        <f t="shared" si="33"/>
        <v>149.38800000000001</v>
      </c>
      <c r="O207" s="54">
        <f t="shared" si="33"/>
        <v>146.35599999999999</v>
      </c>
      <c r="P207" s="54">
        <f t="shared" si="33"/>
        <v>135.61199999999999</v>
      </c>
      <c r="Q207" s="54"/>
      <c r="R207" s="54"/>
      <c r="S207" s="54"/>
      <c r="T207" s="54"/>
      <c r="U207" s="54"/>
      <c r="V207" s="54"/>
      <c r="W207" s="13"/>
      <c r="AR207"/>
    </row>
    <row r="208" spans="1:44" x14ac:dyDescent="0.3">
      <c r="A208" s="365" t="s">
        <v>520</v>
      </c>
      <c r="B208" s="423" t="s">
        <v>536</v>
      </c>
      <c r="C208" s="16"/>
      <c r="D208" s="47"/>
      <c r="E208" s="47"/>
      <c r="F208" s="47"/>
      <c r="G208" s="47"/>
      <c r="H208" s="47"/>
      <c r="I208" s="47"/>
      <c r="J208" s="47"/>
      <c r="K208" s="47"/>
      <c r="L208" s="47"/>
      <c r="M208" s="47"/>
      <c r="N208" s="47"/>
      <c r="O208" s="47"/>
      <c r="P208" s="47">
        <f>P207</f>
        <v>135.61199999999999</v>
      </c>
      <c r="Q208" s="47">
        <f>$W$208+6*($P$208-$W$208)/7</f>
        <v>134.31485714285714</v>
      </c>
      <c r="R208" s="47">
        <f>$W$208+5*($P$208-$W$208)/7</f>
        <v>133.01771428571428</v>
      </c>
      <c r="S208" s="47">
        <f>$W$208+4*($P$208-$W$208)/7</f>
        <v>131.72057142857142</v>
      </c>
      <c r="T208" s="47">
        <f>$W$208+3*($P$208-$W$208)/7</f>
        <v>130.42342857142856</v>
      </c>
      <c r="U208" s="47">
        <f>$W$208+2*($P$208-$W$208)/7</f>
        <v>129.1262857142857</v>
      </c>
      <c r="V208" s="47">
        <f>$W$208+1*($P$208-$W$208)/7</f>
        <v>127.82914285714286</v>
      </c>
      <c r="W208" s="17">
        <f>(V165+V171)/1000</f>
        <v>126.532</v>
      </c>
      <c r="AR208"/>
    </row>
    <row r="209" spans="1:44" x14ac:dyDescent="0.3">
      <c r="A209" s="342"/>
      <c r="B209" s="493" t="s">
        <v>539</v>
      </c>
      <c r="C209" s="477"/>
      <c r="D209" s="455"/>
      <c r="E209" s="455"/>
      <c r="F209" s="455"/>
      <c r="G209" s="455"/>
      <c r="H209" s="455"/>
      <c r="I209" s="455"/>
      <c r="J209" s="455"/>
      <c r="K209" s="455"/>
      <c r="L209" s="455"/>
      <c r="M209" s="455"/>
      <c r="N209" s="455"/>
      <c r="O209" s="455"/>
      <c r="P209" s="455">
        <f>P207</f>
        <v>135.61199999999999</v>
      </c>
      <c r="Q209" s="455">
        <f>$W$209+6*($P$209-$W$209)/7</f>
        <v>134.31485714285714</v>
      </c>
      <c r="R209" s="455">
        <f>$W$209+5*($P$209-$W$209)/7</f>
        <v>133.01771428571428</v>
      </c>
      <c r="S209" s="455">
        <f>$W$209+4*($P$209-$W$209)/7</f>
        <v>131.72057142857142</v>
      </c>
      <c r="T209" s="455">
        <f>$W$209+3*($P$209-$W$209)/7</f>
        <v>130.42342857142856</v>
      </c>
      <c r="U209" s="455">
        <f>$W$209+2*($P$209-$W$209)/7</f>
        <v>129.1262857142857</v>
      </c>
      <c r="V209" s="455">
        <f>$W$209+1*($P$209-$W$209)/7</f>
        <v>127.82914285714286</v>
      </c>
      <c r="W209" s="412">
        <f>(W165+W171)/1000</f>
        <v>126.532</v>
      </c>
      <c r="AR209"/>
    </row>
    <row r="210" spans="1:44" x14ac:dyDescent="0.3">
      <c r="A210" s="341" t="s">
        <v>521</v>
      </c>
      <c r="B210" s="471" t="s">
        <v>373</v>
      </c>
      <c r="C210" s="12">
        <f t="shared" ref="C210:P210" si="34">(B167+B169)/1000</f>
        <v>214.02600000000001</v>
      </c>
      <c r="D210" s="54">
        <f t="shared" si="34"/>
        <v>204.40700000000001</v>
      </c>
      <c r="E210" s="54">
        <f t="shared" si="34"/>
        <v>201.476</v>
      </c>
      <c r="F210" s="54">
        <f t="shared" si="34"/>
        <v>199.55199999999999</v>
      </c>
      <c r="G210" s="54">
        <f t="shared" si="34"/>
        <v>201.25200000000001</v>
      </c>
      <c r="H210" s="54">
        <f t="shared" si="34"/>
        <v>202.29300000000001</v>
      </c>
      <c r="I210" s="54">
        <f t="shared" si="34"/>
        <v>202.64500000000001</v>
      </c>
      <c r="J210" s="54">
        <f t="shared" si="34"/>
        <v>199.804</v>
      </c>
      <c r="K210" s="54">
        <f t="shared" si="34"/>
        <v>198.46199999999999</v>
      </c>
      <c r="L210" s="54">
        <f t="shared" si="34"/>
        <v>195.428</v>
      </c>
      <c r="M210" s="54">
        <f t="shared" si="34"/>
        <v>198.054</v>
      </c>
      <c r="N210" s="54">
        <f t="shared" si="34"/>
        <v>202.387</v>
      </c>
      <c r="O210" s="54">
        <f t="shared" si="34"/>
        <v>186.76900000000001</v>
      </c>
      <c r="P210" s="54">
        <f t="shared" si="34"/>
        <v>186.798</v>
      </c>
      <c r="Q210" s="54"/>
      <c r="R210" s="54"/>
      <c r="S210" s="54"/>
      <c r="T210" s="54"/>
      <c r="U210" s="54"/>
      <c r="V210" s="54"/>
      <c r="W210" s="13"/>
      <c r="AR210"/>
    </row>
    <row r="211" spans="1:44" x14ac:dyDescent="0.3">
      <c r="A211" s="365" t="s">
        <v>522</v>
      </c>
      <c r="B211" s="423" t="s">
        <v>536</v>
      </c>
      <c r="C211" s="16"/>
      <c r="D211" s="47"/>
      <c r="E211" s="47"/>
      <c r="F211" s="47"/>
      <c r="G211" s="47"/>
      <c r="H211" s="47"/>
      <c r="I211" s="47"/>
      <c r="J211" s="47"/>
      <c r="K211" s="47"/>
      <c r="L211" s="47"/>
      <c r="M211" s="47"/>
      <c r="N211" s="47"/>
      <c r="O211" s="47"/>
      <c r="P211" s="47">
        <f>P210</f>
        <v>186.798</v>
      </c>
      <c r="Q211" s="47">
        <f>$W$211+6*($P$211-$W$211)/7</f>
        <v>186.16771428571428</v>
      </c>
      <c r="R211" s="47">
        <f>$W$211+5*($P$211-$W$211)/7</f>
        <v>185.53742857142856</v>
      </c>
      <c r="S211" s="47">
        <f>$W$211+4*($P$211-$W$211)/7</f>
        <v>184.90714285714284</v>
      </c>
      <c r="T211" s="47">
        <f>$W$211+3*($P$211-$W$211)/7</f>
        <v>184.27685714285715</v>
      </c>
      <c r="U211" s="47">
        <f>$W$211+2*($P$211-$W$211)/7</f>
        <v>183.64657142857143</v>
      </c>
      <c r="V211" s="47">
        <f>$W$211+1*($P$211-$W$211)/7</f>
        <v>183.01628571428571</v>
      </c>
      <c r="W211" s="17">
        <f>(V167+V169)/1000</f>
        <v>182.386</v>
      </c>
      <c r="AR211"/>
    </row>
    <row r="212" spans="1:44" x14ac:dyDescent="0.3">
      <c r="A212" s="342"/>
      <c r="B212" s="493" t="s">
        <v>539</v>
      </c>
      <c r="C212" s="477"/>
      <c r="D212" s="455"/>
      <c r="E212" s="455"/>
      <c r="F212" s="455"/>
      <c r="G212" s="455"/>
      <c r="H212" s="455"/>
      <c r="I212" s="455"/>
      <c r="J212" s="455"/>
      <c r="K212" s="455"/>
      <c r="L212" s="455"/>
      <c r="M212" s="455"/>
      <c r="N212" s="455"/>
      <c r="O212" s="455"/>
      <c r="P212" s="455">
        <f>P210</f>
        <v>186.798</v>
      </c>
      <c r="Q212" s="455">
        <f>$W$212+6*($P$212-$W$212)/7</f>
        <v>186.16771428571428</v>
      </c>
      <c r="R212" s="455">
        <f>$W$212+5*($P$212-$W$212)/7</f>
        <v>185.53742857142856</v>
      </c>
      <c r="S212" s="455">
        <f>$W$212+4*($P$212-$W$212)/7</f>
        <v>184.90714285714284</v>
      </c>
      <c r="T212" s="455">
        <f>$W$212+3*($P$212-$W$212)/7</f>
        <v>184.27685714285715</v>
      </c>
      <c r="U212" s="455">
        <f>$W$212+2*($P$212-$W$212)/7</f>
        <v>183.64657142857143</v>
      </c>
      <c r="V212" s="455">
        <f>$W$212+1*($P$212-$W$212)/7</f>
        <v>183.01628571428571</v>
      </c>
      <c r="W212" s="412">
        <f>(W167+W169)/1000</f>
        <v>182.386</v>
      </c>
      <c r="AR212"/>
    </row>
    <row r="213" spans="1:44" x14ac:dyDescent="0.3">
      <c r="A213" s="343" t="s">
        <v>523</v>
      </c>
      <c r="B213" s="471" t="s">
        <v>373</v>
      </c>
      <c r="C213" s="233">
        <f t="shared" ref="C213:P213" si="35">B173/1000</f>
        <v>86.836579999999998</v>
      </c>
      <c r="D213" s="247">
        <f t="shared" si="35"/>
        <v>84.596643999999998</v>
      </c>
      <c r="E213" s="247">
        <f t="shared" si="35"/>
        <v>89.402636000000001</v>
      </c>
      <c r="F213" s="247">
        <f t="shared" si="35"/>
        <v>94.487751999999986</v>
      </c>
      <c r="G213" s="247">
        <f t="shared" si="35"/>
        <v>93.936199999999999</v>
      </c>
      <c r="H213" s="247">
        <f t="shared" si="35"/>
        <v>94.816475999999994</v>
      </c>
      <c r="I213" s="247">
        <f t="shared" si="35"/>
        <v>93.897139999999993</v>
      </c>
      <c r="J213" s="247">
        <f t="shared" si="35"/>
        <v>91.470460000000003</v>
      </c>
      <c r="K213" s="247">
        <f t="shared" si="35"/>
        <v>83.584059999999994</v>
      </c>
      <c r="L213" s="247">
        <f t="shared" si="35"/>
        <v>78.878073999999998</v>
      </c>
      <c r="M213" s="247">
        <f t="shared" si="35"/>
        <v>77.456537999999995</v>
      </c>
      <c r="N213" s="247">
        <f t="shared" si="35"/>
        <v>80.225458000000003</v>
      </c>
      <c r="O213" s="247">
        <f t="shared" si="35"/>
        <v>78.956937999999994</v>
      </c>
      <c r="P213" s="247">
        <f t="shared" si="35"/>
        <v>78.535461999999995</v>
      </c>
      <c r="Q213" s="247"/>
      <c r="R213" s="247"/>
      <c r="S213" s="247"/>
      <c r="T213" s="247"/>
      <c r="U213" s="247"/>
      <c r="V213" s="247"/>
      <c r="W213" s="438"/>
      <c r="AR213"/>
    </row>
    <row r="214" spans="1:44" x14ac:dyDescent="0.3">
      <c r="A214" s="369"/>
      <c r="B214" s="423" t="s">
        <v>536</v>
      </c>
      <c r="C214" s="58"/>
      <c r="D214" s="53"/>
      <c r="E214" s="53"/>
      <c r="F214" s="53"/>
      <c r="G214" s="53"/>
      <c r="H214" s="53"/>
      <c r="I214" s="53"/>
      <c r="J214" s="53"/>
      <c r="K214" s="53"/>
      <c r="L214" s="53"/>
      <c r="M214" s="53"/>
      <c r="N214" s="53"/>
      <c r="O214" s="53"/>
      <c r="P214" s="47">
        <f>P213</f>
        <v>78.535461999999995</v>
      </c>
      <c r="Q214" s="47">
        <f>$W$214+6*($P$214-$W$214)/7</f>
        <v>78.409610857142852</v>
      </c>
      <c r="R214" s="47">
        <f>$W$214+5*($P$214-$W$214)/7</f>
        <v>78.283759714285708</v>
      </c>
      <c r="S214" s="47">
        <f>$W$214+4*($P$214-$W$214)/7</f>
        <v>78.157908571428564</v>
      </c>
      <c r="T214" s="47">
        <f>$W$214+3*($P$214-$W$214)/7</f>
        <v>78.032057428571434</v>
      </c>
      <c r="U214" s="47">
        <f>$W$214+2*($P$214-$W$214)/7</f>
        <v>77.906206285714291</v>
      </c>
      <c r="V214" s="47">
        <f>$W$214+1*($P$214-$W$214)/7</f>
        <v>77.780355142857147</v>
      </c>
      <c r="W214" s="210">
        <f>V173/1000</f>
        <v>77.654504000000003</v>
      </c>
      <c r="AR214"/>
    </row>
    <row r="215" spans="1:44" x14ac:dyDescent="0.3">
      <c r="A215" s="346"/>
      <c r="B215" s="493" t="s">
        <v>539</v>
      </c>
      <c r="C215" s="478"/>
      <c r="D215" s="479"/>
      <c r="E215" s="479"/>
      <c r="F215" s="479"/>
      <c r="G215" s="479"/>
      <c r="H215" s="479"/>
      <c r="I215" s="479"/>
      <c r="J215" s="479"/>
      <c r="K215" s="479"/>
      <c r="L215" s="479"/>
      <c r="M215" s="479"/>
      <c r="N215" s="479"/>
      <c r="O215" s="479"/>
      <c r="P215" s="455">
        <f>P213</f>
        <v>78.535461999999995</v>
      </c>
      <c r="Q215" s="455">
        <f>$W$215+6*($P$215-$W$215)/7</f>
        <v>78.409610857142852</v>
      </c>
      <c r="R215" s="455">
        <f>$W$215+5*($P$215-$W$215)/7</f>
        <v>78.283759714285708</v>
      </c>
      <c r="S215" s="455">
        <f>$W$215+4*($P$215-$W$215)/7</f>
        <v>78.157908571428564</v>
      </c>
      <c r="T215" s="455">
        <f>$W$215+3*($P$215-$W$215)/7</f>
        <v>78.032057428571434</v>
      </c>
      <c r="U215" s="455">
        <f>$W$215+2*($P$215-$W$215)/7</f>
        <v>77.906206285714291</v>
      </c>
      <c r="V215" s="455">
        <f>$W$215+1*($P$215-$W$215)/7</f>
        <v>77.780355142857147</v>
      </c>
      <c r="W215" s="480">
        <f>W173/1000</f>
        <v>77.654504000000003</v>
      </c>
      <c r="AR215"/>
    </row>
    <row r="216" spans="1:44" x14ac:dyDescent="0.3">
      <c r="A216" s="343" t="s">
        <v>480</v>
      </c>
      <c r="B216" s="471" t="s">
        <v>373</v>
      </c>
      <c r="C216" s="233">
        <f t="shared" ref="C216:P216" si="36">B175/1000</f>
        <v>2731.5219999999999</v>
      </c>
      <c r="D216" s="247">
        <f t="shared" si="36"/>
        <v>2764.3649999999998</v>
      </c>
      <c r="E216" s="247">
        <f t="shared" si="36"/>
        <v>2784.3249999999998</v>
      </c>
      <c r="F216" s="247">
        <f t="shared" si="36"/>
        <v>2738.462</v>
      </c>
      <c r="G216" s="247">
        <f t="shared" si="36"/>
        <v>2862.3420000000001</v>
      </c>
      <c r="H216" s="247">
        <f t="shared" si="36"/>
        <v>2860.6930000000002</v>
      </c>
      <c r="I216" s="247">
        <f t="shared" si="36"/>
        <v>2783.4229999999998</v>
      </c>
      <c r="J216" s="247">
        <f t="shared" si="36"/>
        <v>2770.5369999999998</v>
      </c>
      <c r="K216" s="247">
        <f t="shared" si="36"/>
        <v>2783.6550000000002</v>
      </c>
      <c r="L216" s="247">
        <f t="shared" si="36"/>
        <v>2756.931</v>
      </c>
      <c r="M216" s="247">
        <f t="shared" si="36"/>
        <v>2781.7359999999999</v>
      </c>
      <c r="N216" s="247">
        <f t="shared" si="36"/>
        <v>2730.817</v>
      </c>
      <c r="O216" s="247">
        <f t="shared" si="36"/>
        <v>2695.1210000000001</v>
      </c>
      <c r="P216" s="247">
        <f t="shared" si="36"/>
        <v>2595.634</v>
      </c>
      <c r="Q216" s="247"/>
      <c r="R216" s="247"/>
      <c r="S216" s="247"/>
      <c r="T216" s="247"/>
      <c r="U216" s="247"/>
      <c r="V216" s="247"/>
      <c r="W216" s="438"/>
      <c r="AR216"/>
    </row>
    <row r="217" spans="1:44" x14ac:dyDescent="0.3">
      <c r="A217" s="369"/>
      <c r="B217" s="423" t="s">
        <v>536</v>
      </c>
      <c r="C217" s="58"/>
      <c r="D217" s="53"/>
      <c r="E217" s="53"/>
      <c r="F217" s="53"/>
      <c r="G217" s="53"/>
      <c r="H217" s="53"/>
      <c r="I217" s="53"/>
      <c r="J217" s="53"/>
      <c r="K217" s="53"/>
      <c r="L217" s="53"/>
      <c r="M217" s="53"/>
      <c r="N217" s="53"/>
      <c r="O217" s="53"/>
      <c r="P217" s="47">
        <f>P216</f>
        <v>2595.634</v>
      </c>
      <c r="Q217" s="47">
        <f>$W$217+6*($P$217-$W$217)/7</f>
        <v>2576.2504285714285</v>
      </c>
      <c r="R217" s="47">
        <f>$W$217+5*($P$217-$W$217)/7</f>
        <v>2556.866857142857</v>
      </c>
      <c r="S217" s="47">
        <f>$W$217+4*($P$217-$W$217)/7</f>
        <v>2537.4832857142856</v>
      </c>
      <c r="T217" s="47">
        <f>$W$217+3*($P$217-$W$217)/7</f>
        <v>2518.0997142857145</v>
      </c>
      <c r="U217" s="47">
        <f>$W$217+2*($P$217-$W$217)/7</f>
        <v>2498.716142857143</v>
      </c>
      <c r="V217" s="47">
        <f>$W$217+1*($P$217-$W$217)/7</f>
        <v>2479.3325714285716</v>
      </c>
      <c r="W217" s="210">
        <f>V175/1000</f>
        <v>2459.9490000000001</v>
      </c>
      <c r="AR217"/>
    </row>
    <row r="218" spans="1:44" x14ac:dyDescent="0.3">
      <c r="A218" s="346"/>
      <c r="B218" s="493" t="s">
        <v>539</v>
      </c>
      <c r="C218" s="478"/>
      <c r="D218" s="479"/>
      <c r="E218" s="479"/>
      <c r="F218" s="479"/>
      <c r="G218" s="479"/>
      <c r="H218" s="479"/>
      <c r="I218" s="479"/>
      <c r="J218" s="479"/>
      <c r="K218" s="479"/>
      <c r="L218" s="479"/>
      <c r="M218" s="479"/>
      <c r="N218" s="479"/>
      <c r="O218" s="479"/>
      <c r="P218" s="455">
        <f>P216</f>
        <v>2595.634</v>
      </c>
      <c r="Q218" s="455">
        <f>$W$218+6*($P$218-$W$218)/7</f>
        <v>2576.2504285714285</v>
      </c>
      <c r="R218" s="455">
        <f>$W$218+5*($P$218-$W$218)/7</f>
        <v>2556.866857142857</v>
      </c>
      <c r="S218" s="455">
        <f>$W$218+4*($P$218-$W$218)/7</f>
        <v>2537.4832857142856</v>
      </c>
      <c r="T218" s="455">
        <f>$W$218+3*($P$218-$W$218)/7</f>
        <v>2518.0997142857145</v>
      </c>
      <c r="U218" s="455">
        <f>$W$218+2*($P$218-$W$218)/7</f>
        <v>2498.716142857143</v>
      </c>
      <c r="V218" s="455">
        <f>$W$218+1*($P$218-$W$218)/7</f>
        <v>2479.3325714285716</v>
      </c>
      <c r="W218" s="480">
        <f>W175/1000</f>
        <v>2459.9490000000001</v>
      </c>
      <c r="AR218"/>
    </row>
    <row r="220" spans="1:44" x14ac:dyDescent="0.3">
      <c r="A220" s="423" t="s">
        <v>408</v>
      </c>
      <c r="B220" s="2"/>
      <c r="C220" s="2" t="s">
        <v>414</v>
      </c>
      <c r="D220" s="2" t="s">
        <v>193</v>
      </c>
      <c r="E220" s="2" t="s">
        <v>415</v>
      </c>
      <c r="F220" s="2" t="s">
        <v>90</v>
      </c>
    </row>
    <row r="221" spans="1:44" x14ac:dyDescent="0.3">
      <c r="A221" s="2"/>
      <c r="B221" s="2"/>
      <c r="C221" s="427" t="s">
        <v>411</v>
      </c>
      <c r="D221" s="427" t="s">
        <v>412</v>
      </c>
      <c r="E221" s="427" t="s">
        <v>413</v>
      </c>
      <c r="F221" s="2"/>
      <c r="H221" s="111" t="s">
        <v>416</v>
      </c>
    </row>
    <row r="222" spans="1:44" x14ac:dyDescent="0.3">
      <c r="A222" s="428" t="s">
        <v>410</v>
      </c>
      <c r="B222" s="428"/>
      <c r="C222" s="427" t="s">
        <v>409</v>
      </c>
      <c r="D222" s="427" t="s">
        <v>409</v>
      </c>
      <c r="E222" s="427" t="s">
        <v>409</v>
      </c>
      <c r="F222" s="2"/>
      <c r="H222" s="400" t="s">
        <v>556</v>
      </c>
    </row>
    <row r="223" spans="1:44" x14ac:dyDescent="0.3">
      <c r="A223" s="207" t="s">
        <v>77</v>
      </c>
      <c r="B223" s="71"/>
      <c r="C223" s="563">
        <f>'Calcul R84'!F36</f>
        <v>0.36708439614062327</v>
      </c>
      <c r="D223" s="563">
        <f>'Calcul R84'!C36/'Calcul R84'!E36</f>
        <v>0.19540867250748581</v>
      </c>
      <c r="E223" s="563">
        <f>'Calcul R84'!D36/'Calcul R84'!E36</f>
        <v>0.43750693135189089</v>
      </c>
      <c r="F223" s="563">
        <f t="shared" ref="F223:F247" si="37">SUM(C223:E223)</f>
        <v>1</v>
      </c>
    </row>
    <row r="224" spans="1:44" x14ac:dyDescent="0.3">
      <c r="A224" s="207" t="s">
        <v>78</v>
      </c>
      <c r="B224" s="71"/>
      <c r="C224" s="563">
        <f>'Calcul R84'!F37</f>
        <v>0.90822784810126578</v>
      </c>
      <c r="D224" s="563">
        <f>'Calcul R84'!C37/'Calcul R84'!E37</f>
        <v>2.610759493670884E-2</v>
      </c>
      <c r="E224" s="563">
        <f>'Calcul R84'!D37/'Calcul R84'!E37</f>
        <v>6.5664556962025319E-2</v>
      </c>
      <c r="F224" s="563">
        <f t="shared" si="37"/>
        <v>1</v>
      </c>
    </row>
    <row r="225" spans="1:6" x14ac:dyDescent="0.3">
      <c r="A225" s="207" t="s">
        <v>80</v>
      </c>
      <c r="B225" s="71"/>
      <c r="C225" s="563">
        <f>'Calcul R84'!F38</f>
        <v>0.11046511627906977</v>
      </c>
      <c r="D225" s="563">
        <f>'Calcul R84'!C38/'Calcul R84'!E38</f>
        <v>2.9069767441860486E-2</v>
      </c>
      <c r="E225" s="563">
        <f>'Calcul R84'!D38/'Calcul R84'!E38</f>
        <v>0.86046511627906974</v>
      </c>
      <c r="F225" s="563">
        <f t="shared" si="37"/>
        <v>1</v>
      </c>
    </row>
    <row r="226" spans="1:6" x14ac:dyDescent="0.3">
      <c r="A226" s="207" t="s">
        <v>81</v>
      </c>
      <c r="B226" s="71"/>
      <c r="C226" s="563">
        <f>'Calcul R84'!F39</f>
        <v>3.2994226010448172E-2</v>
      </c>
      <c r="D226" s="563">
        <f>'Calcul R84'!C39/'Calcul R84'!E39</f>
        <v>0.14489964256255153</v>
      </c>
      <c r="E226" s="563">
        <f>'Calcul R84'!D39/'Calcul R84'!E39</f>
        <v>0.82210613142700029</v>
      </c>
      <c r="F226" s="563">
        <f t="shared" si="37"/>
        <v>1</v>
      </c>
    </row>
    <row r="227" spans="1:6" x14ac:dyDescent="0.3">
      <c r="A227" s="207" t="s">
        <v>82</v>
      </c>
      <c r="B227" s="71"/>
      <c r="C227" s="563">
        <f>'Calcul R84'!F40</f>
        <v>3.4759358288770054E-2</v>
      </c>
      <c r="D227" s="563">
        <f>'Calcul R84'!C40/'Calcul R84'!E40</f>
        <v>3.2085561497326179E-2</v>
      </c>
      <c r="E227" s="563">
        <f>'Calcul R84'!D40/'Calcul R84'!E40</f>
        <v>0.93315508021390381</v>
      </c>
      <c r="F227" s="563">
        <f t="shared" si="37"/>
        <v>1</v>
      </c>
    </row>
    <row r="228" spans="1:6" x14ac:dyDescent="0.3">
      <c r="A228" s="207" t="s">
        <v>83</v>
      </c>
      <c r="B228" s="71"/>
      <c r="C228" s="563">
        <f>'Calcul R84'!F41</f>
        <v>6.9620253164556972E-2</v>
      </c>
      <c r="D228" s="563">
        <f>'Calcul R84'!C41/'Calcul R84'!E41</f>
        <v>0.13724800750117214</v>
      </c>
      <c r="E228" s="563">
        <f>'Calcul R84'!D41/'Calcul R84'!E41</f>
        <v>0.79313173933427095</v>
      </c>
      <c r="F228" s="563">
        <f t="shared" si="37"/>
        <v>1</v>
      </c>
    </row>
    <row r="229" spans="1:6" x14ac:dyDescent="0.3">
      <c r="A229" s="207" t="s">
        <v>186</v>
      </c>
      <c r="B229" s="71"/>
      <c r="C229" s="563">
        <f>'Calcul R84'!F42</f>
        <v>1.3698630136986301E-2</v>
      </c>
      <c r="D229" s="563">
        <f>'Calcul R84'!C42/'Calcul R84'!E42</f>
        <v>1.3698630136986269E-2</v>
      </c>
      <c r="E229" s="563">
        <f>'Calcul R84'!D42/'Calcul R84'!E42</f>
        <v>0.9726027397260274</v>
      </c>
      <c r="F229" s="563">
        <f t="shared" si="37"/>
        <v>1</v>
      </c>
    </row>
    <row r="230" spans="1:6" x14ac:dyDescent="0.3">
      <c r="A230" s="207" t="s">
        <v>187</v>
      </c>
      <c r="B230" s="71"/>
      <c r="C230" s="563">
        <f>'Calcul R84'!F43</f>
        <v>5.0600885515496522E-3</v>
      </c>
      <c r="D230" s="563">
        <f>'Calcul R84'!C43/'Calcul R84'!E43</f>
        <v>3.0993042378241548E-2</v>
      </c>
      <c r="E230" s="563">
        <f>'Calcul R84'!D43/'Calcul R84'!E43</f>
        <v>0.96394686907020877</v>
      </c>
      <c r="F230" s="563">
        <f t="shared" si="37"/>
        <v>1</v>
      </c>
    </row>
    <row r="231" spans="1:6" x14ac:dyDescent="0.3">
      <c r="A231" s="207" t="s">
        <v>84</v>
      </c>
      <c r="B231" s="71"/>
      <c r="C231" s="563">
        <f>'Calcul R84'!F44</f>
        <v>0.12702702702702701</v>
      </c>
      <c r="D231" s="563">
        <f>'Calcul R84'!C44/'Calcul R84'!E44</f>
        <v>0</v>
      </c>
      <c r="E231" s="563">
        <f>'Calcul R84'!D44/'Calcul R84'!E44</f>
        <v>0.87297297297297294</v>
      </c>
      <c r="F231" s="563">
        <f t="shared" si="37"/>
        <v>1</v>
      </c>
    </row>
    <row r="232" spans="1:6" x14ac:dyDescent="0.3">
      <c r="A232" s="207" t="s">
        <v>66</v>
      </c>
      <c r="B232" s="71"/>
      <c r="C232" s="563">
        <f>'Calcul R84'!F45</f>
        <v>0.11718086491625015</v>
      </c>
      <c r="D232" s="563">
        <f>'Calcul R84'!C45/'Calcul R84'!E45</f>
        <v>0.87281913508374986</v>
      </c>
      <c r="E232" s="563">
        <f>'Calcul R84'!D45/'Calcul R84'!E45</f>
        <v>0.01</v>
      </c>
      <c r="F232" s="563">
        <f t="shared" si="37"/>
        <v>1</v>
      </c>
    </row>
    <row r="233" spans="1:6" x14ac:dyDescent="0.3">
      <c r="A233" s="207" t="s">
        <v>67</v>
      </c>
      <c r="B233" s="71"/>
      <c r="C233" s="563">
        <f>'Calcul R84'!F46</f>
        <v>0.65</v>
      </c>
      <c r="D233" s="563">
        <f>'Calcul R84'!C46/'Calcul R84'!E46</f>
        <v>0.32000000000000006</v>
      </c>
      <c r="E233" s="563">
        <f>'Calcul R84'!D46/'Calcul R84'!E46</f>
        <v>3.0000000000000002E-2</v>
      </c>
      <c r="F233" s="563">
        <f t="shared" si="37"/>
        <v>1</v>
      </c>
    </row>
    <row r="234" spans="1:6" x14ac:dyDescent="0.3">
      <c r="A234" s="207" t="s">
        <v>85</v>
      </c>
      <c r="B234" s="71"/>
      <c r="C234" s="563">
        <f>'Calcul R84'!F47</f>
        <v>0.47123287671232883</v>
      </c>
      <c r="D234" s="563">
        <f>'Calcul R84'!C47/'Calcul R84'!E47</f>
        <v>0.21369863013698631</v>
      </c>
      <c r="E234" s="563">
        <f>'Calcul R84'!D47/'Calcul R84'!E47</f>
        <v>0.31506849315068491</v>
      </c>
      <c r="F234" s="563">
        <f t="shared" si="37"/>
        <v>1</v>
      </c>
    </row>
    <row r="235" spans="1:6" x14ac:dyDescent="0.3">
      <c r="A235" s="207" t="s">
        <v>86</v>
      </c>
      <c r="B235" s="71"/>
      <c r="C235" s="563">
        <f>'Calcul R84'!F48</f>
        <v>0.1</v>
      </c>
      <c r="D235" s="563">
        <f>'Calcul R84'!C48/'Calcul R84'!E48</f>
        <v>0</v>
      </c>
      <c r="E235" s="563">
        <f>'Calcul R84'!D48/'Calcul R84'!E48</f>
        <v>0.9</v>
      </c>
      <c r="F235" s="563">
        <f t="shared" si="37"/>
        <v>1</v>
      </c>
    </row>
    <row r="236" spans="1:6" x14ac:dyDescent="0.3">
      <c r="A236" s="207" t="s">
        <v>87</v>
      </c>
      <c r="B236" s="71"/>
      <c r="C236" s="563">
        <f>'Calcul R84'!F49</f>
        <v>0.2</v>
      </c>
      <c r="D236" s="563">
        <f>'Calcul R84'!C49/'Calcul R84'!E49</f>
        <v>0</v>
      </c>
      <c r="E236" s="563">
        <f>'Calcul R84'!D49/'Calcul R84'!E49</f>
        <v>0.8</v>
      </c>
      <c r="F236" s="563">
        <f t="shared" si="37"/>
        <v>1</v>
      </c>
    </row>
    <row r="237" spans="1:6" x14ac:dyDescent="0.3">
      <c r="A237" s="207" t="s">
        <v>184</v>
      </c>
      <c r="B237" s="71"/>
      <c r="C237" s="563">
        <f>'Calcul R84'!F50</f>
        <v>5.8139534883720929E-2</v>
      </c>
      <c r="D237" s="563">
        <f>'Calcul R84'!C50/'Calcul R84'!E50</f>
        <v>6.9767441860465157E-2</v>
      </c>
      <c r="E237" s="563">
        <f>'Calcul R84'!D50/'Calcul R84'!E50</f>
        <v>0.87209302325581395</v>
      </c>
      <c r="F237" s="563">
        <f t="shared" si="37"/>
        <v>1</v>
      </c>
    </row>
    <row r="238" spans="1:6" x14ac:dyDescent="0.3">
      <c r="A238" s="207" t="s">
        <v>185</v>
      </c>
      <c r="B238" s="71"/>
      <c r="C238" s="563">
        <f>'Calcul R84'!F51</f>
        <v>6.25E-2</v>
      </c>
      <c r="D238" s="563">
        <f>'Calcul R84'!C51/'Calcul R84'!E51</f>
        <v>6.25E-2</v>
      </c>
      <c r="E238" s="563">
        <f>'Calcul R84'!D51/'Calcul R84'!E51</f>
        <v>0.875</v>
      </c>
      <c r="F238" s="563">
        <f t="shared" si="37"/>
        <v>1</v>
      </c>
    </row>
    <row r="239" spans="1:6" x14ac:dyDescent="0.3">
      <c r="A239" s="207" t="s">
        <v>269</v>
      </c>
      <c r="B239" s="71"/>
      <c r="C239" s="563">
        <f>'Calcul R84'!F52</f>
        <v>0.90740740740740744</v>
      </c>
      <c r="D239" s="563">
        <f>'Calcul R84'!C52/'Calcul R84'!E52</f>
        <v>9.259259259259249E-2</v>
      </c>
      <c r="E239" s="563">
        <f>'Calcul R84'!D52/'Calcul R84'!E52</f>
        <v>0</v>
      </c>
      <c r="F239" s="563">
        <f t="shared" si="37"/>
        <v>0.99999999999999989</v>
      </c>
    </row>
    <row r="240" spans="1:6" x14ac:dyDescent="0.3">
      <c r="A240" s="423" t="s">
        <v>268</v>
      </c>
      <c r="B240" s="71"/>
      <c r="C240" s="563">
        <f>'Calcul R84'!F53</f>
        <v>0.9821428571428571</v>
      </c>
      <c r="D240" s="563">
        <f>'Calcul R84'!C53/'Calcul R84'!E53</f>
        <v>1.7857142857142926E-2</v>
      </c>
      <c r="E240" s="563">
        <f>'Calcul R84'!D53/'Calcul R84'!E53</f>
        <v>0</v>
      </c>
      <c r="F240" s="563">
        <f t="shared" si="37"/>
        <v>1</v>
      </c>
    </row>
    <row r="241" spans="1:44" x14ac:dyDescent="0.3">
      <c r="A241" s="207" t="s">
        <v>303</v>
      </c>
      <c r="B241" s="71"/>
      <c r="C241" s="563">
        <f>'Calcul R84'!F54</f>
        <v>7.5046904315196991E-2</v>
      </c>
      <c r="D241" s="563">
        <f>'Calcul R84'!C54/'Calcul R84'!E54</f>
        <v>5.4409005628517873E-2</v>
      </c>
      <c r="E241" s="563">
        <f>'Calcul R84'!D54/'Calcul R84'!E54</f>
        <v>0.87054409005628508</v>
      </c>
      <c r="F241" s="563">
        <f t="shared" si="37"/>
        <v>1</v>
      </c>
    </row>
    <row r="242" spans="1:44" x14ac:dyDescent="0.3">
      <c r="A242" s="207" t="s">
        <v>40</v>
      </c>
      <c r="B242" s="71"/>
      <c r="C242" s="563">
        <f>'Calcul R84'!F55</f>
        <v>0.98</v>
      </c>
      <c r="D242" s="563">
        <f>'Calcul R84'!C55/'Calcul R84'!E55</f>
        <v>2.0000000000000059E-2</v>
      </c>
      <c r="E242" s="563">
        <f>'Calcul R84'!D55/'Calcul R84'!E55</f>
        <v>0</v>
      </c>
      <c r="F242" s="563">
        <f t="shared" si="37"/>
        <v>1</v>
      </c>
    </row>
    <row r="243" spans="1:44" x14ac:dyDescent="0.3">
      <c r="A243" s="207" t="s">
        <v>88</v>
      </c>
      <c r="B243" s="71"/>
      <c r="C243" s="563">
        <f>'Calcul R84'!F56</f>
        <v>1</v>
      </c>
      <c r="D243" s="563">
        <f>'Calcul R84'!C56/'Calcul R84'!E56</f>
        <v>0</v>
      </c>
      <c r="E243" s="563">
        <f>'Calcul R84'!D56/'Calcul R84'!E56</f>
        <v>0</v>
      </c>
      <c r="F243" s="563">
        <f t="shared" si="37"/>
        <v>1</v>
      </c>
    </row>
    <row r="244" spans="1:44" x14ac:dyDescent="0.3">
      <c r="A244" s="207" t="s">
        <v>89</v>
      </c>
      <c r="B244" s="71"/>
      <c r="C244" s="563">
        <f>'Calcul R84'!F57</f>
        <v>1</v>
      </c>
      <c r="D244" s="563">
        <f>'Calcul R84'!C57/'Calcul R84'!E57</f>
        <v>0</v>
      </c>
      <c r="E244" s="563">
        <f>'Calcul R84'!D57/'Calcul R84'!E57</f>
        <v>0</v>
      </c>
      <c r="F244" s="563">
        <f t="shared" si="37"/>
        <v>1</v>
      </c>
    </row>
    <row r="245" spans="1:44" x14ac:dyDescent="0.3">
      <c r="A245" s="207" t="s">
        <v>311</v>
      </c>
      <c r="B245" s="71"/>
      <c r="C245" s="563">
        <f>'Calcul R84'!F58</f>
        <v>0</v>
      </c>
      <c r="D245" s="563">
        <f>'Calcul R84'!C58/'Calcul R84'!E58</f>
        <v>0</v>
      </c>
      <c r="E245" s="563">
        <f>'Calcul R84'!D58/'Calcul R84'!E58</f>
        <v>1</v>
      </c>
      <c r="F245" s="563">
        <f t="shared" si="37"/>
        <v>1</v>
      </c>
    </row>
    <row r="246" spans="1:44" x14ac:dyDescent="0.3">
      <c r="A246" s="426" t="s">
        <v>304</v>
      </c>
      <c r="B246" s="71"/>
      <c r="C246" s="564">
        <f>'Calcul R84'!F59</f>
        <v>0.18889515508665494</v>
      </c>
      <c r="D246" s="564">
        <f>'Calcul R84'!C59/'Calcul R84'!E59</f>
        <v>0.11639770533251609</v>
      </c>
      <c r="E246" s="564">
        <f>'Calcul R84'!D59/'Calcul R84'!E59</f>
        <v>0.69470713958082897</v>
      </c>
      <c r="F246" s="564">
        <f t="shared" si="37"/>
        <v>1</v>
      </c>
    </row>
    <row r="247" spans="1:44" x14ac:dyDescent="0.3">
      <c r="A247" s="207" t="s">
        <v>335</v>
      </c>
      <c r="B247" s="71"/>
      <c r="C247" s="563">
        <f>'Calcul R84'!F60</f>
        <v>0</v>
      </c>
      <c r="D247" s="563">
        <f>'Calcul R84'!C60/'Calcul R84'!E60</f>
        <v>0</v>
      </c>
      <c r="E247" s="563">
        <f>'Calcul R84'!D60/'Calcul R84'!E60</f>
        <v>1</v>
      </c>
      <c r="F247" s="563">
        <f t="shared" si="37"/>
        <v>1</v>
      </c>
    </row>
    <row r="248" spans="1:44" s="182" customFormat="1" x14ac:dyDescent="0.3">
      <c r="A248" s="568" t="s">
        <v>614</v>
      </c>
      <c r="B248" s="157"/>
      <c r="C248" s="562"/>
      <c r="D248" s="562"/>
      <c r="E248" s="562"/>
      <c r="F248" s="562"/>
      <c r="S248" s="183"/>
      <c r="T248" s="183"/>
      <c r="AR248" s="183"/>
    </row>
    <row r="249" spans="1:44" s="182" customFormat="1" x14ac:dyDescent="0.3">
      <c r="A249" s="85"/>
      <c r="B249" s="157"/>
      <c r="C249" s="562"/>
      <c r="D249" s="562"/>
      <c r="E249" s="562"/>
      <c r="F249" s="562"/>
      <c r="S249" s="183"/>
      <c r="T249" s="183"/>
      <c r="AR249" s="183"/>
    </row>
  </sheetData>
  <mergeCells count="20">
    <mergeCell ref="M2:N2"/>
    <mergeCell ref="M3:N3"/>
    <mergeCell ref="M4:N4"/>
    <mergeCell ref="M5:N5"/>
    <mergeCell ref="M6:N6"/>
    <mergeCell ref="H11:J11"/>
    <mergeCell ref="M8:N8"/>
    <mergeCell ref="H6:J6"/>
    <mergeCell ref="H7:J7"/>
    <mergeCell ref="H8:J8"/>
    <mergeCell ref="H9:J9"/>
    <mergeCell ref="H10:J10"/>
    <mergeCell ref="M7:N7"/>
    <mergeCell ref="H5:J5"/>
    <mergeCell ref="D4:F6"/>
    <mergeCell ref="H1:K1"/>
    <mergeCell ref="H2:J2"/>
    <mergeCell ref="H3:J3"/>
    <mergeCell ref="H4:J4"/>
    <mergeCell ref="A1:E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66"/>
  <sheetViews>
    <sheetView showGridLines="0" zoomScale="80" zoomScaleNormal="80" workbookViewId="0">
      <selection activeCell="H16" sqref="H16"/>
    </sheetView>
  </sheetViews>
  <sheetFormatPr baseColWidth="10" defaultRowHeight="14.4" x14ac:dyDescent="0.3"/>
  <cols>
    <col min="1" max="1" width="34.6640625" bestFit="1" customWidth="1"/>
    <col min="2" max="3" width="8.88671875" bestFit="1" customWidth="1"/>
    <col min="4" max="4" width="8.77734375" customWidth="1"/>
    <col min="5" max="5" width="10.109375" bestFit="1" customWidth="1"/>
    <col min="6" max="6" width="9.88671875" bestFit="1" customWidth="1"/>
    <col min="7" max="8" width="8.88671875" bestFit="1" customWidth="1"/>
    <col min="9" max="9" width="10.6640625" customWidth="1"/>
    <col min="10" max="10" width="8.88671875" bestFit="1" customWidth="1"/>
    <col min="11" max="11" width="10.33203125" customWidth="1"/>
    <col min="12" max="14" width="8.88671875" bestFit="1" customWidth="1"/>
    <col min="15" max="15" width="10.44140625" customWidth="1"/>
    <col min="16" max="16" width="9.88671875" customWidth="1"/>
    <col min="17" max="21" width="8.109375" bestFit="1" customWidth="1"/>
    <col min="22" max="23" width="9.5546875" bestFit="1" customWidth="1"/>
  </cols>
  <sheetData>
    <row r="1" spans="1:11" ht="15" x14ac:dyDescent="0.35">
      <c r="A1" s="457" t="s">
        <v>445</v>
      </c>
    </row>
    <row r="13" spans="1:11" x14ac:dyDescent="0.3">
      <c r="I13" s="114" t="s">
        <v>615</v>
      </c>
      <c r="J13" s="556"/>
      <c r="K13" s="163"/>
    </row>
    <row r="14" spans="1:11" x14ac:dyDescent="0.3">
      <c r="I14" s="65"/>
      <c r="J14" s="65" t="s">
        <v>380</v>
      </c>
      <c r="K14" s="65" t="s">
        <v>325</v>
      </c>
    </row>
    <row r="15" spans="1:11" x14ac:dyDescent="0.3">
      <c r="I15" s="555" t="s">
        <v>608</v>
      </c>
      <c r="J15" s="112">
        <f>V103/AVERAGE(B102:F102)-1</f>
        <v>0.44806178338805824</v>
      </c>
      <c r="K15" s="112">
        <f>V104/AVERAGE(B102:F102)-1</f>
        <v>0.30404931290958159</v>
      </c>
    </row>
    <row r="16" spans="1:11" x14ac:dyDescent="0.3">
      <c r="I16" s="555" t="s">
        <v>609</v>
      </c>
      <c r="J16" s="112">
        <f>V103/AVERAGE(K102:O102)-1</f>
        <v>0.11328687370789647</v>
      </c>
      <c r="K16" s="112">
        <f>V104/AVERAGE(K102:O102)-1</f>
        <v>2.5683982442228359E-3</v>
      </c>
    </row>
    <row r="17" spans="1:11" ht="14.55" customHeight="1" x14ac:dyDescent="0.3">
      <c r="I17" s="622" t="s">
        <v>616</v>
      </c>
      <c r="J17" s="623"/>
      <c r="K17" s="623"/>
    </row>
    <row r="18" spans="1:11" x14ac:dyDescent="0.3">
      <c r="I18" s="624"/>
      <c r="J18" s="624"/>
      <c r="K18" s="624"/>
    </row>
    <row r="19" spans="1:11" x14ac:dyDescent="0.3">
      <c r="I19" s="624"/>
      <c r="J19" s="624"/>
      <c r="K19" s="624"/>
    </row>
    <row r="20" spans="1:11" x14ac:dyDescent="0.3">
      <c r="I20" s="624"/>
      <c r="J20" s="624"/>
      <c r="K20" s="624"/>
    </row>
    <row r="21" spans="1:11" ht="15" x14ac:dyDescent="0.35">
      <c r="A21" s="457" t="s">
        <v>443</v>
      </c>
      <c r="I21" s="624"/>
      <c r="J21" s="624"/>
      <c r="K21" s="624"/>
    </row>
    <row r="22" spans="1:11" ht="15" x14ac:dyDescent="0.35">
      <c r="A22" s="457" t="s">
        <v>444</v>
      </c>
      <c r="I22" s="624"/>
      <c r="J22" s="624"/>
      <c r="K22" s="624"/>
    </row>
    <row r="24" spans="1:11" ht="15" x14ac:dyDescent="0.35">
      <c r="A24" s="457" t="s">
        <v>445</v>
      </c>
    </row>
    <row r="46" spans="1:1" ht="15" x14ac:dyDescent="0.35">
      <c r="A46" s="457" t="s">
        <v>443</v>
      </c>
    </row>
    <row r="47" spans="1:1" ht="15" x14ac:dyDescent="0.35">
      <c r="A47" s="457" t="s">
        <v>444</v>
      </c>
    </row>
    <row r="49" spans="1:25" ht="15" x14ac:dyDescent="0.35">
      <c r="A49" s="457" t="s">
        <v>442</v>
      </c>
      <c r="I49" s="458" t="s">
        <v>447</v>
      </c>
    </row>
    <row r="54" spans="1:25" x14ac:dyDescent="0.3">
      <c r="S54" s="570" t="s">
        <v>617</v>
      </c>
      <c r="T54" s="571"/>
      <c r="U54" s="571"/>
      <c r="V54" s="571"/>
      <c r="W54" s="571"/>
      <c r="X54" s="571"/>
      <c r="Y54" s="571"/>
    </row>
    <row r="55" spans="1:25" x14ac:dyDescent="0.3">
      <c r="S55" s="570" t="s">
        <v>618</v>
      </c>
      <c r="T55" s="571"/>
      <c r="U55" s="571"/>
      <c r="V55" s="571"/>
      <c r="W55" s="571"/>
      <c r="X55" s="571"/>
      <c r="Y55" s="571"/>
    </row>
    <row r="57" spans="1:25" x14ac:dyDescent="0.3">
      <c r="S57" s="111"/>
    </row>
    <row r="69" spans="1:23" ht="15" x14ac:dyDescent="0.35">
      <c r="A69" s="457" t="s">
        <v>443</v>
      </c>
      <c r="I69" s="457" t="s">
        <v>443</v>
      </c>
    </row>
    <row r="70" spans="1:23" ht="15" x14ac:dyDescent="0.35">
      <c r="A70" s="457" t="s">
        <v>444</v>
      </c>
      <c r="I70" s="457" t="s">
        <v>444</v>
      </c>
    </row>
    <row r="72" spans="1:23" x14ac:dyDescent="0.3">
      <c r="A72" s="113" t="s">
        <v>371</v>
      </c>
      <c r="B72" s="318">
        <v>2010</v>
      </c>
      <c r="C72" s="318">
        <v>2011</v>
      </c>
      <c r="D72" s="318">
        <v>2012</v>
      </c>
      <c r="E72" s="318">
        <v>2013</v>
      </c>
      <c r="F72" s="318">
        <v>2014</v>
      </c>
      <c r="G72" s="318">
        <v>2015</v>
      </c>
      <c r="H72" s="318">
        <v>2016</v>
      </c>
      <c r="I72" s="318">
        <v>2017</v>
      </c>
      <c r="J72" s="318">
        <v>2018</v>
      </c>
      <c r="K72" s="318">
        <v>2019</v>
      </c>
      <c r="L72" s="318">
        <v>2020</v>
      </c>
      <c r="M72" s="318">
        <v>2021</v>
      </c>
      <c r="N72" s="318">
        <v>2022</v>
      </c>
      <c r="O72" s="117">
        <v>2023</v>
      </c>
      <c r="P72" s="117">
        <v>2024</v>
      </c>
      <c r="Q72" s="117">
        <v>2025</v>
      </c>
      <c r="R72" s="117">
        <v>2026</v>
      </c>
      <c r="S72" s="117">
        <v>2027</v>
      </c>
      <c r="T72" s="117">
        <v>2028</v>
      </c>
      <c r="U72" s="117">
        <v>2029</v>
      </c>
      <c r="V72" s="497" t="s">
        <v>526</v>
      </c>
      <c r="W72" s="500" t="s">
        <v>527</v>
      </c>
    </row>
    <row r="73" spans="1:23" x14ac:dyDescent="0.3">
      <c r="A73" s="321" t="s">
        <v>1</v>
      </c>
      <c r="B73" s="324">
        <f>'Calcul R84'!C73</f>
        <v>-27782.774055340255</v>
      </c>
      <c r="C73" s="324">
        <f>'Calcul R84'!D73</f>
        <v>-45684.009134829401</v>
      </c>
      <c r="D73" s="324">
        <f>'Calcul R84'!E73</f>
        <v>-28090.702255570701</v>
      </c>
      <c r="E73" s="324">
        <f>'Calcul R84'!F73</f>
        <v>-28556.332506387505</v>
      </c>
      <c r="F73" s="324">
        <f>'Calcul R84'!G73</f>
        <v>-39167.047701690841</v>
      </c>
      <c r="G73" s="324">
        <f>'Calcul R84'!H73</f>
        <v>-34309.328159374592</v>
      </c>
      <c r="H73" s="324">
        <f>'Calcul R84'!I73</f>
        <v>-36602.027654991798</v>
      </c>
      <c r="I73" s="324">
        <f>'Calcul R84'!J73</f>
        <v>-36753.875430081338</v>
      </c>
      <c r="J73" s="324">
        <f>'Calcul R84'!K73</f>
        <v>-42226.827675930828</v>
      </c>
      <c r="K73" s="324">
        <f>'Calcul R84'!L73</f>
        <v>-44010.383611333738</v>
      </c>
      <c r="L73" s="324">
        <f>'Calcul R84'!M73</f>
        <v>-56900.250247430304</v>
      </c>
      <c r="M73" s="324">
        <f>'Calcul R84'!N73</f>
        <v>-42783.502669121786</v>
      </c>
      <c r="N73" s="324">
        <f>'Calcul R84'!O73</f>
        <v>-68020.766213026189</v>
      </c>
      <c r="O73" s="379">
        <f>'Calcul R84'!P73</f>
        <v>-43015.131122922598</v>
      </c>
      <c r="V73" s="379">
        <f>'Calcul R84'!W73</f>
        <v>-55824.318143742683</v>
      </c>
      <c r="W73" s="379">
        <f>'Calcul R84'!X73</f>
        <v>-62574.936938068924</v>
      </c>
    </row>
    <row r="74" spans="1:23" x14ac:dyDescent="0.3">
      <c r="A74" s="321" t="s">
        <v>4</v>
      </c>
      <c r="B74" s="324">
        <f>'Calcul R84'!C80</f>
        <v>-13038.394370102469</v>
      </c>
      <c r="C74" s="324">
        <f>'Calcul R84'!D80</f>
        <v>-22236.089019723287</v>
      </c>
      <c r="D74" s="324">
        <f>'Calcul R84'!E80</f>
        <v>-14129.016429606723</v>
      </c>
      <c r="E74" s="324">
        <f>'Calcul R84'!F80</f>
        <v>-16241.31696838979</v>
      </c>
      <c r="F74" s="324">
        <f>'Calcul R84'!G80</f>
        <v>-21585.109874528098</v>
      </c>
      <c r="G74" s="324">
        <f>'Calcul R84'!H80</f>
        <v>-16410.082144284763</v>
      </c>
      <c r="H74" s="324">
        <f>'Calcul R84'!I80</f>
        <v>-13360.214108736251</v>
      </c>
      <c r="I74" s="324">
        <f>'Calcul R84'!J80</f>
        <v>-11377.956321728248</v>
      </c>
      <c r="J74" s="324">
        <f>'Calcul R84'!K80</f>
        <v>-15665.470019668168</v>
      </c>
      <c r="K74" s="324">
        <f>'Calcul R84'!L80</f>
        <v>-12768.993313367184</v>
      </c>
      <c r="L74" s="324">
        <f>'Calcul R84'!M80</f>
        <v>-17282.919122441737</v>
      </c>
      <c r="M74" s="324">
        <f>'Calcul R84'!N80</f>
        <v>-12926.525829692991</v>
      </c>
      <c r="N74" s="324">
        <f>'Calcul R84'!O80</f>
        <v>-15420.794858552186</v>
      </c>
      <c r="O74" s="324">
        <f>'Calcul R84'!P80</f>
        <v>-15699.562458099446</v>
      </c>
      <c r="V74" s="324">
        <f>'Calcul R84'!W80</f>
        <v>-16621.986378646121</v>
      </c>
      <c r="W74" s="324">
        <f>'Calcul R84'!X80</f>
        <v>-17895.347248211339</v>
      </c>
    </row>
    <row r="75" spans="1:23" x14ac:dyDescent="0.3">
      <c r="A75" s="321" t="s">
        <v>84</v>
      </c>
      <c r="B75" s="324">
        <f>'Calcul R84'!C87</f>
        <v>10393.430206220233</v>
      </c>
      <c r="C75" s="324">
        <f>'Calcul R84'!D87</f>
        <v>10312.215384829688</v>
      </c>
      <c r="D75" s="324">
        <f>'Calcul R84'!E87</f>
        <v>10231.137293025913</v>
      </c>
      <c r="E75" s="324">
        <f>'Calcul R84'!F87</f>
        <v>9395.3264576953115</v>
      </c>
      <c r="F75" s="324">
        <f>'Calcul R84'!G87</f>
        <v>8577.3358415101575</v>
      </c>
      <c r="G75" s="324">
        <f>'Calcul R84'!H87</f>
        <v>8178.75282169411</v>
      </c>
      <c r="H75" s="324">
        <f>'Calcul R84'!I87</f>
        <v>7223.8147453922165</v>
      </c>
      <c r="I75" s="324">
        <f>'Calcul R84'!J87</f>
        <v>6932.8299855407677</v>
      </c>
      <c r="J75" s="324">
        <f>'Calcul R84'!K87</f>
        <v>-1146.5420653662777</v>
      </c>
      <c r="K75" s="324">
        <f>'Calcul R84'!L87</f>
        <v>-5155.8329477404723</v>
      </c>
      <c r="L75" s="324">
        <f>'Calcul R84'!M87</f>
        <v>-4440.8042368002943</v>
      </c>
      <c r="M75" s="324">
        <f>'Calcul R84'!N87</f>
        <v>8095.1228320752443</v>
      </c>
      <c r="N75" s="324">
        <f>'Calcul R84'!O87</f>
        <v>3831.3035676405902</v>
      </c>
      <c r="O75" s="324">
        <f>'Calcul R84'!P87</f>
        <v>3704.5625211674569</v>
      </c>
      <c r="V75" s="324">
        <f>'Calcul R84'!W87</f>
        <v>2837.9295454752137</v>
      </c>
      <c r="W75" s="324">
        <f>'Calcul R84'!X87</f>
        <v>2252.3136823336858</v>
      </c>
    </row>
    <row r="76" spans="1:23" x14ac:dyDescent="0.3">
      <c r="A76" s="321" t="s">
        <v>104</v>
      </c>
      <c r="B76" s="324">
        <f>'Calcul R84'!C95</f>
        <v>-14791.644448115725</v>
      </c>
      <c r="C76" s="324">
        <f>'Calcul R84'!D95</f>
        <v>-9193.3145448697724</v>
      </c>
      <c r="D76" s="324">
        <f>'Calcul R84'!E95</f>
        <v>-11506.899071488762</v>
      </c>
      <c r="E76" s="324">
        <f>'Calcul R84'!F95</f>
        <v>-9853.6207528913365</v>
      </c>
      <c r="F76" s="324">
        <f>'Calcul R84'!G95</f>
        <v>-1169.2209466183822</v>
      </c>
      <c r="G76" s="324">
        <f>'Calcul R84'!H95</f>
        <v>-11188.89135801944</v>
      </c>
      <c r="H76" s="324">
        <f>'Calcul R84'!I95</f>
        <v>-8926.9915483532805</v>
      </c>
      <c r="I76" s="324">
        <f>'Calcul R84'!J95</f>
        <v>-8018.4895529218638</v>
      </c>
      <c r="J76" s="324">
        <f>'Calcul R84'!K95</f>
        <v>-9178.2651497132592</v>
      </c>
      <c r="K76" s="324">
        <f>'Calcul R84'!L95</f>
        <v>-13851.831856181294</v>
      </c>
      <c r="L76" s="324">
        <f>'Calcul R84'!M95</f>
        <v>-13819.724185473509</v>
      </c>
      <c r="M76" s="324">
        <f>'Calcul R84'!N95</f>
        <v>-11698.365663748902</v>
      </c>
      <c r="N76" s="324">
        <f>'Calcul R84'!O95</f>
        <v>-11610.0269590311</v>
      </c>
      <c r="O76" s="324">
        <f>'Calcul R84'!P95</f>
        <v>-10303.763349626595</v>
      </c>
      <c r="V76" s="324">
        <f>'Calcul R84'!W95</f>
        <v>-12436.479981816885</v>
      </c>
      <c r="W76" s="324">
        <f>'Calcul R84'!X95</f>
        <v>-12436.479981816885</v>
      </c>
    </row>
    <row r="77" spans="1:23" x14ac:dyDescent="0.3">
      <c r="A77" s="321" t="s">
        <v>105</v>
      </c>
      <c r="B77" s="324">
        <f>'Calcul R84'!C102</f>
        <v>-5184.5420168067212</v>
      </c>
      <c r="C77" s="324">
        <f>'Calcul R84'!D102</f>
        <v>-2645.5815068493171</v>
      </c>
      <c r="D77" s="324">
        <f>'Calcul R84'!E102</f>
        <v>-8117.1964332036414</v>
      </c>
      <c r="E77" s="324">
        <f>'Calcul R84'!F102</f>
        <v>-23532.36428571428</v>
      </c>
      <c r="F77" s="324">
        <f>'Calcul R84'!G102</f>
        <v>-14724.256397306397</v>
      </c>
      <c r="G77" s="324">
        <f>'Calcul R84'!H102</f>
        <v>-25077.309490740743</v>
      </c>
      <c r="H77" s="324">
        <f>'Calcul R84'!I102</f>
        <v>-18347.890108401079</v>
      </c>
      <c r="I77" s="324">
        <f>'Calcul R84'!J102</f>
        <v>-14549.491860465121</v>
      </c>
      <c r="J77" s="324">
        <f>'Calcul R84'!K102</f>
        <v>-18708.15657407407</v>
      </c>
      <c r="K77" s="324">
        <f>'Calcul R84'!L102</f>
        <v>-19588.332651072124</v>
      </c>
      <c r="L77" s="324">
        <f>'Calcul R84'!M102</f>
        <v>-16348.022026431719</v>
      </c>
      <c r="M77" s="324">
        <f>'Calcul R84'!N102</f>
        <v>-10782.002510288072</v>
      </c>
      <c r="N77" s="324">
        <f>'Calcul R84'!O102</f>
        <v>-9214.9659544159622</v>
      </c>
      <c r="O77" s="324">
        <f>'Calcul R84'!P102</f>
        <v>-7151.3391577060911</v>
      </c>
      <c r="V77" s="324">
        <f>'Calcul R84'!W102</f>
        <v>-11300.487321346242</v>
      </c>
      <c r="W77" s="324">
        <f>'Calcul R84'!X102</f>
        <v>-11300.487321346242</v>
      </c>
    </row>
    <row r="78" spans="1:23" x14ac:dyDescent="0.3">
      <c r="A78" s="321" t="s">
        <v>85</v>
      </c>
      <c r="B78" s="324">
        <f>'Calcul R84'!C109</f>
        <v>-10791.898399297859</v>
      </c>
      <c r="C78" s="324">
        <f>'Calcul R84'!D109</f>
        <v>-9012.7745211123365</v>
      </c>
      <c r="D78" s="324">
        <f>'Calcul R84'!E109</f>
        <v>-13369.458013979331</v>
      </c>
      <c r="E78" s="324">
        <f>'Calcul R84'!F109</f>
        <v>-11490.470604703281</v>
      </c>
      <c r="F78" s="324">
        <f>'Calcul R84'!G109</f>
        <v>-9353.4751430891429</v>
      </c>
      <c r="G78" s="324">
        <f>'Calcul R84'!H109</f>
        <v>-10224.559090728615</v>
      </c>
      <c r="H78" s="324">
        <f>'Calcul R84'!I109</f>
        <v>-11187.742419808497</v>
      </c>
      <c r="I78" s="324">
        <f>'Calcul R84'!J109</f>
        <v>-10811.795880742966</v>
      </c>
      <c r="J78" s="324">
        <f>'Calcul R84'!K109</f>
        <v>-8339.6875474133976</v>
      </c>
      <c r="K78" s="324">
        <f>'Calcul R84'!L109</f>
        <v>-9239.5110568275541</v>
      </c>
      <c r="L78" s="324">
        <f>'Calcul R84'!M109</f>
        <v>-13489.536446633065</v>
      </c>
      <c r="M78" s="324">
        <f>'Calcul R84'!N109</f>
        <v>-8685.7135578478883</v>
      </c>
      <c r="N78" s="324">
        <f>'Calcul R84'!O109</f>
        <v>-10494.651292527753</v>
      </c>
      <c r="O78" s="324">
        <f>'Calcul R84'!P109</f>
        <v>-9455.2721865511066</v>
      </c>
      <c r="V78" s="324">
        <f>'Calcul R84'!W109</f>
        <v>-10767.55699460357</v>
      </c>
      <c r="W78" s="324">
        <f>'Calcul R84'!X109</f>
        <v>-10767.55699460357</v>
      </c>
    </row>
    <row r="79" spans="1:23" x14ac:dyDescent="0.3">
      <c r="A79" s="322" t="s">
        <v>113</v>
      </c>
      <c r="B79" s="325">
        <f>'Calcul R84'!C117</f>
        <v>352.87822687710121</v>
      </c>
      <c r="C79" s="325">
        <f>'Calcul R84'!D117</f>
        <v>-1712.2937919205992</v>
      </c>
      <c r="D79" s="325">
        <f>'Calcul R84'!E117</f>
        <v>-2965.212033783996</v>
      </c>
      <c r="E79" s="325">
        <f>'Calcul R84'!F117</f>
        <v>-4149.2621148900125</v>
      </c>
      <c r="F79" s="325">
        <f>'Calcul R84'!G117</f>
        <v>-4044.8286997664782</v>
      </c>
      <c r="G79" s="325">
        <f>'Calcul R84'!H117</f>
        <v>-892.8949542812569</v>
      </c>
      <c r="H79" s="325">
        <f>'Calcul R84'!I117</f>
        <v>-1769.9233371920561</v>
      </c>
      <c r="I79" s="325">
        <f>'Calcul R84'!J117</f>
        <v>-1863.5178094161424</v>
      </c>
      <c r="J79" s="325">
        <f>'Calcul R84'!K117</f>
        <v>-5054.8046029278576</v>
      </c>
      <c r="K79" s="325">
        <f>'Calcul R84'!L117</f>
        <v>-6338.3143803513658</v>
      </c>
      <c r="L79" s="325">
        <f>'Calcul R84'!M117</f>
        <v>-8152.5617456545378</v>
      </c>
      <c r="M79" s="325">
        <f>'Calcul R84'!N117</f>
        <v>-6326.5799573696941</v>
      </c>
      <c r="N79" s="325">
        <f>'Calcul R84'!O117</f>
        <v>-11108.697128237218</v>
      </c>
      <c r="O79" s="325">
        <f>'Calcul R84'!P117</f>
        <v>-9461.3163217834681</v>
      </c>
      <c r="V79" s="325">
        <f>'Calcul R84'!W117</f>
        <v>-12041.889913954874</v>
      </c>
      <c r="W79" s="325">
        <f>'Calcul R84'!X117</f>
        <v>-13726.681860263601</v>
      </c>
    </row>
    <row r="80" spans="1:23" x14ac:dyDescent="0.3">
      <c r="A80" s="319" t="s">
        <v>106</v>
      </c>
      <c r="B80" s="326">
        <f>'Calcul R84'!C124</f>
        <v>-1965.8291923076922</v>
      </c>
      <c r="C80" s="326">
        <f>'Calcul R84'!D124</f>
        <v>-1779.5557500000002</v>
      </c>
      <c r="D80" s="326">
        <f>'Calcul R84'!E124</f>
        <v>-1653.2871225806452</v>
      </c>
      <c r="E80" s="326">
        <f>'Calcul R84'!F124</f>
        <v>-1543.543947368421</v>
      </c>
      <c r="F80" s="326">
        <f>'Calcul R84'!G124</f>
        <v>-1623.0245806451614</v>
      </c>
      <c r="G80" s="326">
        <f>'Calcul R84'!H124</f>
        <v>-1762.1968108108108</v>
      </c>
      <c r="H80" s="326">
        <f>'Calcul R84'!I124</f>
        <v>-1641.2929545454544</v>
      </c>
      <c r="I80" s="326">
        <f>'Calcul R84'!J124</f>
        <v>-1678.13711971831</v>
      </c>
      <c r="J80" s="326">
        <f>'Calcul R84'!K124</f>
        <v>-1579.6470141843974</v>
      </c>
      <c r="K80" s="326">
        <f>'Calcul R84'!L124</f>
        <v>-1520.5192992700729</v>
      </c>
      <c r="L80" s="326">
        <f>'Calcul R84'!M124</f>
        <v>-1695.2591818181818</v>
      </c>
      <c r="M80" s="326">
        <f>'Calcul R84'!N124</f>
        <v>-1751.44140397351</v>
      </c>
      <c r="N80" s="326">
        <f>'Calcul R84'!O124</f>
        <v>-1654.0599436619723</v>
      </c>
      <c r="O80" s="326">
        <f>'Calcul R84'!P124</f>
        <v>-1875.3312500000004</v>
      </c>
      <c r="V80" s="326">
        <f>'Calcul R84'!W124</f>
        <v>-1679.1777777777779</v>
      </c>
      <c r="W80" s="326">
        <f>'Calcul R84'!X124</f>
        <v>-1772.1533333333336</v>
      </c>
    </row>
    <row r="81" spans="1:23" x14ac:dyDescent="0.3">
      <c r="A81" s="319" t="s">
        <v>107</v>
      </c>
      <c r="B81" s="326">
        <f>'Calcul R84'!C131</f>
        <v>-11923.29450190114</v>
      </c>
      <c r="C81" s="326">
        <f>'Calcul R84'!D131</f>
        <v>-9666.4076476510054</v>
      </c>
      <c r="D81" s="326">
        <f>'Calcul R84'!E131</f>
        <v>-10382.696000000002</v>
      </c>
      <c r="E81" s="326">
        <f>'Calcul R84'!F131</f>
        <v>-10401.380212765958</v>
      </c>
      <c r="F81" s="326">
        <f>'Calcul R84'!G131</f>
        <v>-9360.0854834437105</v>
      </c>
      <c r="G81" s="326">
        <f>'Calcul R84'!H131</f>
        <v>-10070.084194444446</v>
      </c>
      <c r="H81" s="326">
        <f>'Calcul R84'!I131</f>
        <v>-8594.9850740740767</v>
      </c>
      <c r="I81" s="326">
        <f>'Calcul R84'!J131</f>
        <v>-8519.4742699386479</v>
      </c>
      <c r="J81" s="326">
        <f>'Calcul R84'!K131</f>
        <v>-7927.1002441860483</v>
      </c>
      <c r="K81" s="326">
        <f>'Calcul R84'!L131</f>
        <v>-7699.7350601719199</v>
      </c>
      <c r="L81" s="326">
        <f>'Calcul R84'!M131</f>
        <v>-6615.8304122137397</v>
      </c>
      <c r="M81" s="326">
        <f>'Calcul R84'!N131</f>
        <v>-7555.3881444444451</v>
      </c>
      <c r="N81" s="326">
        <f>'Calcul R84'!O131</f>
        <v>-9698.381146179403</v>
      </c>
      <c r="O81" s="326">
        <f>'Calcul R84'!P131</f>
        <v>-8429.5328549848928</v>
      </c>
      <c r="V81" s="326">
        <f>'Calcul R84'!W131</f>
        <v>-8227.8146013448586</v>
      </c>
      <c r="W81" s="326">
        <f>'Calcul R84'!X131</f>
        <v>-8227.8146013448586</v>
      </c>
    </row>
    <row r="82" spans="1:23" x14ac:dyDescent="0.3">
      <c r="A82" s="319" t="s">
        <v>23</v>
      </c>
      <c r="B82" s="326">
        <f>'Calcul R84'!C138</f>
        <v>-541.15837455099984</v>
      </c>
      <c r="C82" s="326">
        <f>'Calcul R84'!D138</f>
        <v>-451.0029169622095</v>
      </c>
      <c r="D82" s="326">
        <f>'Calcul R84'!E138</f>
        <v>-434.91355892947035</v>
      </c>
      <c r="E82" s="326">
        <f>'Calcul R84'!F138</f>
        <v>-491.78068099630235</v>
      </c>
      <c r="F82" s="326">
        <f>'Calcul R84'!G138</f>
        <v>-359.2221417737303</v>
      </c>
      <c r="G82" s="326">
        <f>'Calcul R84'!H138</f>
        <v>-460.02806325043048</v>
      </c>
      <c r="H82" s="326">
        <f>'Calcul R84'!I138</f>
        <v>-676.07746914022096</v>
      </c>
      <c r="I82" s="326">
        <f>'Calcul R84'!J138</f>
        <v>-744.41040512707411</v>
      </c>
      <c r="J82" s="326">
        <f>'Calcul R84'!K138</f>
        <v>-570.68217565927034</v>
      </c>
      <c r="K82" s="326">
        <f>'Calcul R84'!L138</f>
        <v>-621.74712122449739</v>
      </c>
      <c r="L82" s="326">
        <f>'Calcul R84'!M138</f>
        <v>-753.02775378186823</v>
      </c>
      <c r="M82" s="326">
        <f>'Calcul R84'!N138</f>
        <v>-562.23131180149267</v>
      </c>
      <c r="N82" s="326">
        <f>'Calcul R84'!O138</f>
        <v>-681.98812896737468</v>
      </c>
      <c r="O82" s="326">
        <f>'Calcul R84'!P138</f>
        <v>-773.781395316258</v>
      </c>
      <c r="V82" s="326">
        <f>'Calcul R84'!W138</f>
        <v>-689.78132530120467</v>
      </c>
      <c r="W82" s="326">
        <f>'Calcul R84'!X138</f>
        <v>-743.97039156626488</v>
      </c>
    </row>
    <row r="83" spans="1:23" x14ac:dyDescent="0.3">
      <c r="A83" s="319" t="s">
        <v>21</v>
      </c>
      <c r="B83" s="326">
        <f>'Calcul R84'!C145</f>
        <v>-330.08991513817068</v>
      </c>
      <c r="C83" s="326">
        <f>'Calcul R84'!D145</f>
        <v>-310.71235787804386</v>
      </c>
      <c r="D83" s="326">
        <f>'Calcul R84'!E145</f>
        <v>-424.13977420441233</v>
      </c>
      <c r="E83" s="326">
        <f>'Calcul R84'!F145</f>
        <v>-618.06636135956944</v>
      </c>
      <c r="F83" s="326">
        <f>'Calcul R84'!G145</f>
        <v>-896.35368924995498</v>
      </c>
      <c r="G83" s="326">
        <f>'Calcul R84'!H145</f>
        <v>-792.67480875150454</v>
      </c>
      <c r="H83" s="326">
        <f>'Calcul R84'!I145</f>
        <v>-1088.3632115448738</v>
      </c>
      <c r="I83" s="326">
        <f>'Calcul R84'!J145</f>
        <v>-702.76615261445511</v>
      </c>
      <c r="J83" s="326">
        <f>'Calcul R84'!K145</f>
        <v>-796.95921636399783</v>
      </c>
      <c r="K83" s="326">
        <f>'Calcul R84'!L145</f>
        <v>-893.14389460537541</v>
      </c>
      <c r="L83" s="326">
        <f>'Calcul R84'!M145</f>
        <v>-908.51773108566056</v>
      </c>
      <c r="M83" s="326">
        <f>'Calcul R84'!N145</f>
        <v>-605.21207762582344</v>
      </c>
      <c r="N83" s="326">
        <f>'Calcul R84'!O145</f>
        <v>-1127.801338386327</v>
      </c>
      <c r="O83" s="326">
        <f>'Calcul R84'!P145</f>
        <v>-1153.3242101291803</v>
      </c>
      <c r="V83" s="326">
        <f>'Calcul R84'!W145</f>
        <v>-990.3636363636366</v>
      </c>
      <c r="W83" s="326">
        <f>'Calcul R84'!X145</f>
        <v>-1117.1484848484852</v>
      </c>
    </row>
    <row r="84" spans="1:23" x14ac:dyDescent="0.3">
      <c r="A84" s="319" t="s">
        <v>12</v>
      </c>
      <c r="B84" s="326">
        <f>'Calcul R84'!C152</f>
        <v>-1335.9375729265969</v>
      </c>
      <c r="C84" s="326">
        <f>'Calcul R84'!D152</f>
        <v>-1426.807146025878</v>
      </c>
      <c r="D84" s="326">
        <f>'Calcul R84'!E152</f>
        <v>-1416.7467819253438</v>
      </c>
      <c r="E84" s="326">
        <f>'Calcul R84'!F152</f>
        <v>-1393.2520444033303</v>
      </c>
      <c r="F84" s="326">
        <f>'Calcul R84'!G152</f>
        <v>-1375.2134738738741</v>
      </c>
      <c r="G84" s="326">
        <f>'Calcul R84'!H152</f>
        <v>-1367.7003280141846</v>
      </c>
      <c r="H84" s="326">
        <f>'Calcul R84'!I152</f>
        <v>-1233.5994006235383</v>
      </c>
      <c r="I84" s="326">
        <f>'Calcul R84'!J152</f>
        <v>-1159.3859601837673</v>
      </c>
      <c r="J84" s="326">
        <f>'Calcul R84'!K152</f>
        <v>-1037.8562597305388</v>
      </c>
      <c r="K84" s="326">
        <f>'Calcul R84'!L152</f>
        <v>-1067.4352574102966</v>
      </c>
      <c r="L84" s="326">
        <f>'Calcul R84'!M152</f>
        <v>-1210.9031017770599</v>
      </c>
      <c r="M84" s="326">
        <f>'Calcul R84'!N152</f>
        <v>-1213.1943411290322</v>
      </c>
      <c r="N84" s="326">
        <f>'Calcul R84'!O152</f>
        <v>-1396.0335893333333</v>
      </c>
      <c r="O84" s="326">
        <f>'Calcul R84'!P152</f>
        <v>-1757.6406837160753</v>
      </c>
      <c r="V84" s="326">
        <f>'Calcul R84'!W152</f>
        <v>-1359.7784570596796</v>
      </c>
      <c r="W84" s="326">
        <f>'Calcul R84'!X152</f>
        <v>-1454.7840465793304</v>
      </c>
    </row>
    <row r="85" spans="1:23" x14ac:dyDescent="0.3">
      <c r="A85" s="319" t="s">
        <v>20</v>
      </c>
      <c r="B85" s="326">
        <f>'Calcul R84'!C159</f>
        <v>-66.096774839726606</v>
      </c>
      <c r="C85" s="326">
        <f>'Calcul R84'!D159</f>
        <v>24.236174888587716</v>
      </c>
      <c r="D85" s="326">
        <f>'Calcul R84'!E159</f>
        <v>59.355098548087227</v>
      </c>
      <c r="E85" s="326">
        <f>'Calcul R84'!F159</f>
        <v>-31.982877348984314</v>
      </c>
      <c r="F85" s="326">
        <f>'Calcul R84'!G159</f>
        <v>1.9650902325872541</v>
      </c>
      <c r="G85" s="326">
        <f>'Calcul R84'!H159</f>
        <v>63.262965174082787</v>
      </c>
      <c r="H85" s="326">
        <f>'Calcul R84'!I159</f>
        <v>13.780351304496397</v>
      </c>
      <c r="I85" s="326">
        <f>'Calcul R84'!J159</f>
        <v>-78.779667248621777</v>
      </c>
      <c r="J85" s="326">
        <f>'Calcul R84'!K159</f>
        <v>11.57663564721588</v>
      </c>
      <c r="K85" s="326">
        <f>'Calcul R84'!L159</f>
        <v>-112.64293558783129</v>
      </c>
      <c r="L85" s="326">
        <f>'Calcul R84'!M159</f>
        <v>-65.125192225121467</v>
      </c>
      <c r="M85" s="326">
        <f>'Calcul R84'!N159</f>
        <v>-52.505252465043711</v>
      </c>
      <c r="N85" s="326">
        <f>'Calcul R84'!O159</f>
        <v>-19.747360641347161</v>
      </c>
      <c r="O85" s="326">
        <f>'Calcul R84'!P159</f>
        <v>41.485294894572959</v>
      </c>
      <c r="V85" s="326">
        <f>'Calcul R84'!W159</f>
        <v>-33.013623978201593</v>
      </c>
      <c r="W85" s="326">
        <f>'Calcul R84'!X159</f>
        <v>-61.51430517711163</v>
      </c>
    </row>
    <row r="86" spans="1:23" x14ac:dyDescent="0.3">
      <c r="A86" s="319" t="s">
        <v>135</v>
      </c>
      <c r="B86" s="326">
        <f>'Calcul R84'!C166</f>
        <v>-1483.5894221944682</v>
      </c>
      <c r="C86" s="326">
        <f>'Calcul R84'!D166</f>
        <v>-1410.7255424663754</v>
      </c>
      <c r="D86" s="326">
        <f>'Calcul R84'!E166</f>
        <v>-1030.0060699703038</v>
      </c>
      <c r="E86" s="326">
        <f>'Calcul R84'!F166</f>
        <v>-1156.4203975963835</v>
      </c>
      <c r="F86" s="326">
        <f>'Calcul R84'!G166</f>
        <v>-1370.8328831665865</v>
      </c>
      <c r="G86" s="326">
        <f>'Calcul R84'!H166</f>
        <v>-1565.2993989499375</v>
      </c>
      <c r="H86" s="326">
        <f>'Calcul R84'!I166</f>
        <v>-1475.5621774726853</v>
      </c>
      <c r="I86" s="326">
        <f>'Calcul R84'!J166</f>
        <v>-2008.146890874832</v>
      </c>
      <c r="J86" s="326">
        <f>'Calcul R84'!K166</f>
        <v>-1944.8627712648183</v>
      </c>
      <c r="K86" s="326">
        <f>'Calcul R84'!L166</f>
        <v>-1968.7078524254441</v>
      </c>
      <c r="L86" s="326">
        <f>'Calcul R84'!M166</f>
        <v>-1957.7180989527897</v>
      </c>
      <c r="M86" s="326">
        <f>'Calcul R84'!N166</f>
        <v>-2205.7322778509242</v>
      </c>
      <c r="N86" s="326">
        <f>'Calcul R84'!O166</f>
        <v>-1859.1390296011703</v>
      </c>
      <c r="O86" s="326">
        <f>'Calcul R84'!P166</f>
        <v>-1969.8607671904035</v>
      </c>
      <c r="V86" s="326">
        <f>'Calcul R84'!W166</f>
        <v>-2195.5707988980716</v>
      </c>
      <c r="W86" s="326">
        <f>'Calcul R84'!X166</f>
        <v>-2326.9660055096424</v>
      </c>
    </row>
    <row r="87" spans="1:23" x14ac:dyDescent="0.3">
      <c r="A87" s="323" t="s">
        <v>24</v>
      </c>
      <c r="B87" s="327">
        <f>'Calcul R84'!C174</f>
        <v>6326.9826310499975</v>
      </c>
      <c r="C87" s="327">
        <f>'Calcul R84'!D174</f>
        <v>6078.4629458262025</v>
      </c>
      <c r="D87" s="327">
        <f>'Calcul R84'!E174</f>
        <v>5672.0381528417629</v>
      </c>
      <c r="E87" s="327">
        <f>'Calcul R84'!F174</f>
        <v>5280.6143817379125</v>
      </c>
      <c r="F87" s="327">
        <f>'Calcul R84'!G174</f>
        <v>5445.5675981053464</v>
      </c>
      <c r="G87" s="327">
        <f>'Calcul R84'!H174</f>
        <v>5188.0355338774498</v>
      </c>
      <c r="H87" s="327">
        <f>'Calcul R84'!I174</f>
        <v>4876.5958513331925</v>
      </c>
      <c r="I87" s="327">
        <f>'Calcul R84'!J174</f>
        <v>5172.2538548756738</v>
      </c>
      <c r="J87" s="327">
        <f>'Calcul R84'!K174</f>
        <v>4575.1502506205779</v>
      </c>
      <c r="K87" s="327">
        <f>'Calcul R84'!L174</f>
        <v>4635.1832550557283</v>
      </c>
      <c r="L87" s="327">
        <f>'Calcul R84'!M174</f>
        <v>4157.0588690210388</v>
      </c>
      <c r="M87" s="327">
        <f>'Calcul R84'!N174</f>
        <v>3189.4874010415015</v>
      </c>
      <c r="N87" s="327">
        <f>'Calcul R84'!O174</f>
        <v>4374.8330190022025</v>
      </c>
      <c r="O87" s="327">
        <f>'Calcul R84'!P174</f>
        <v>4203.7473014012039</v>
      </c>
      <c r="V87" s="327">
        <f>'Calcul R84'!W174</f>
        <v>4025.8693333333335</v>
      </c>
      <c r="W87" s="327">
        <f>'Calcul R84'!X174</f>
        <v>3936.6127999999999</v>
      </c>
    </row>
    <row r="88" spans="1:23" x14ac:dyDescent="0.3">
      <c r="A88" s="323" t="s">
        <v>8</v>
      </c>
      <c r="B88" s="327">
        <f>'Calcul R84'!C181</f>
        <v>618.75687557603692</v>
      </c>
      <c r="C88" s="327">
        <f>'Calcul R84'!D181</f>
        <v>860.92768421052665</v>
      </c>
      <c r="D88" s="327">
        <f>'Calcul R84'!E181</f>
        <v>752.13306422018388</v>
      </c>
      <c r="E88" s="327">
        <f>'Calcul R84'!F181</f>
        <v>699.94149289099562</v>
      </c>
      <c r="F88" s="327">
        <f>'Calcul R84'!G181</f>
        <v>806.55067873303176</v>
      </c>
      <c r="G88" s="327">
        <f>'Calcul R84'!H181</f>
        <v>738.76797402597413</v>
      </c>
      <c r="H88" s="327">
        <f>'Calcul R84'!I181</f>
        <v>516.95995260663517</v>
      </c>
      <c r="I88" s="327">
        <f>'Calcul R84'!J181</f>
        <v>649.07205063291133</v>
      </c>
      <c r="J88" s="327">
        <f>'Calcul R84'!K181</f>
        <v>692.04634222222217</v>
      </c>
      <c r="K88" s="327">
        <f>'Calcul R84'!L181</f>
        <v>529.95877209302307</v>
      </c>
      <c r="L88" s="327">
        <f>'Calcul R84'!M181</f>
        <v>479.86028571428596</v>
      </c>
      <c r="M88" s="327">
        <f>'Calcul R84'!N181</f>
        <v>-1751.6057441860464</v>
      </c>
      <c r="N88" s="327">
        <f>'Calcul R84'!O181</f>
        <v>433.21260106382977</v>
      </c>
      <c r="O88" s="327">
        <f>'Calcul R84'!P181</f>
        <v>129.56730628655009</v>
      </c>
      <c r="V88" s="327">
        <f>'Calcul R84'!W181</f>
        <v>-107.46060606060607</v>
      </c>
      <c r="W88" s="327">
        <f>'Calcul R84'!X181</f>
        <v>-221.56696969696955</v>
      </c>
    </row>
    <row r="89" spans="1:23" x14ac:dyDescent="0.3">
      <c r="A89" s="323" t="s">
        <v>7</v>
      </c>
      <c r="B89" s="327">
        <f>'Calcul R84'!C188</f>
        <v>-1404.5483832335328</v>
      </c>
      <c r="C89" s="327">
        <f>'Calcul R84'!D188</f>
        <v>-1154.672052486188</v>
      </c>
      <c r="D89" s="327">
        <f>'Calcul R84'!E188</f>
        <v>-2166.5556363636369</v>
      </c>
      <c r="E89" s="327">
        <f>'Calcul R84'!F188</f>
        <v>-2063.8556752411573</v>
      </c>
      <c r="F89" s="327">
        <f>'Calcul R84'!G188</f>
        <v>-1294.5178197183102</v>
      </c>
      <c r="G89" s="327">
        <f>'Calcul R84'!H188</f>
        <v>-1896.387971098266</v>
      </c>
      <c r="H89" s="327">
        <f>'Calcul R84'!I188</f>
        <v>-2904.7545462962958</v>
      </c>
      <c r="I89" s="327">
        <f>'Calcul R84'!J188</f>
        <v>-3250.516863157894</v>
      </c>
      <c r="J89" s="327">
        <f>'Calcul R84'!K188</f>
        <v>-2742.9450000000002</v>
      </c>
      <c r="K89" s="327">
        <f>'Calcul R84'!L188</f>
        <v>-2305.333981981983</v>
      </c>
      <c r="L89" s="327">
        <f>'Calcul R84'!M188</f>
        <v>-2800.3653376623379</v>
      </c>
      <c r="M89" s="327">
        <f>'Calcul R84'!N188</f>
        <v>-5224.6870547263661</v>
      </c>
      <c r="N89" s="327">
        <f>'Calcul R84'!O188</f>
        <v>-2914.2343965517239</v>
      </c>
      <c r="O89" s="327">
        <f>'Calcul R84'!P188</f>
        <v>-2655.0047643442626</v>
      </c>
      <c r="V89" s="327">
        <f>'Calcul R84'!W188</f>
        <v>-4018.5315315315315</v>
      </c>
      <c r="W89" s="327">
        <f>'Calcul R84'!X188</f>
        <v>-4390.0747747747755</v>
      </c>
    </row>
    <row r="90" spans="1:23" x14ac:dyDescent="0.3">
      <c r="A90" s="323" t="s">
        <v>9</v>
      </c>
      <c r="B90" s="327">
        <f>'Calcul R84'!C195</f>
        <v>-686.2202980769232</v>
      </c>
      <c r="C90" s="327">
        <f>'Calcul R84'!D195</f>
        <v>-129.16371217712171</v>
      </c>
      <c r="D90" s="327">
        <f>'Calcul R84'!E195</f>
        <v>-482.45677837837849</v>
      </c>
      <c r="E90" s="327">
        <f>'Calcul R84'!F195</f>
        <v>-402.73113300492605</v>
      </c>
      <c r="F90" s="327">
        <f>'Calcul R84'!G195</f>
        <v>-278.94096428571453</v>
      </c>
      <c r="G90" s="327">
        <f>'Calcul R84'!H195</f>
        <v>-261.59687850467282</v>
      </c>
      <c r="H90" s="327">
        <f>'Calcul R84'!I195</f>
        <v>-180.55756502242158</v>
      </c>
      <c r="I90" s="327">
        <f>'Calcul R84'!J195</f>
        <v>-242.24904838709665</v>
      </c>
      <c r="J90" s="327">
        <f>'Calcul R84'!K195</f>
        <v>-15.382126760563329</v>
      </c>
      <c r="K90" s="327">
        <f>'Calcul R84'!L195</f>
        <v>-364.89828571428575</v>
      </c>
      <c r="L90" s="327">
        <f>'Calcul R84'!M195</f>
        <v>-91.58258461538469</v>
      </c>
      <c r="M90" s="327">
        <f>'Calcul R84'!N195</f>
        <v>-1462.4941931818182</v>
      </c>
      <c r="N90" s="327">
        <f>'Calcul R84'!O195</f>
        <v>-203.29361452513982</v>
      </c>
      <c r="O90" s="327">
        <f>'Calcul R84'!P195</f>
        <v>-305.724832589286</v>
      </c>
      <c r="V90" s="327">
        <f>'Calcul R84'!W195</f>
        <v>-752.38297872340445</v>
      </c>
      <c r="W90" s="327">
        <f>'Calcul R84'!X195</f>
        <v>-841.40212765957483</v>
      </c>
    </row>
    <row r="91" spans="1:23" x14ac:dyDescent="0.3">
      <c r="A91" s="320" t="s">
        <v>108</v>
      </c>
      <c r="B91" s="328">
        <f>'Calcul R84'!C201</f>
        <v>-57330.311015483298</v>
      </c>
      <c r="C91" s="328">
        <f>'Calcul R84'!D201</f>
        <v>-44322.223440453839</v>
      </c>
      <c r="D91" s="328">
        <f>'Calcul R84'!E201</f>
        <v>-60602.968046644521</v>
      </c>
      <c r="E91" s="328">
        <f>'Calcul R84'!F201</f>
        <v>-59896.750378169534</v>
      </c>
      <c r="F91" s="328">
        <f>'Calcul R84'!G201</f>
        <v>-61460.929842173457</v>
      </c>
      <c r="G91" s="328">
        <f>'Calcul R84'!H201</f>
        <v>-50504.494533701552</v>
      </c>
      <c r="H91" s="328">
        <f>'Calcul R84'!I201</f>
        <v>-45907.16420860467</v>
      </c>
      <c r="I91" s="328">
        <f>'Calcul R84'!J201</f>
        <v>-43394.774749988166</v>
      </c>
      <c r="J91" s="328">
        <f>'Calcul R84'!K201</f>
        <v>-50755.357332546722</v>
      </c>
      <c r="K91" s="328">
        <f>'Calcul R84'!L201</f>
        <v>-54571.677219288409</v>
      </c>
      <c r="L91" s="328">
        <f>'Calcul R84'!M201</f>
        <v>-50938.312346303428</v>
      </c>
      <c r="M91" s="328">
        <f>'Calcul R84'!N201</f>
        <v>-56523.14276137526</v>
      </c>
      <c r="N91" s="328">
        <f>'Calcul R84'!O201</f>
        <v>-59552.17483054311</v>
      </c>
      <c r="O91" s="328">
        <f>'Calcul R84'!P201</f>
        <v>-63916.860138773736</v>
      </c>
      <c r="V91" s="328">
        <f>'Calcul R84'!W201</f>
        <v>-66119.758505153455</v>
      </c>
      <c r="W91" s="328">
        <f>'Calcul R84'!X201</f>
        <v>-44735.009632047906</v>
      </c>
    </row>
    <row r="92" spans="1:23" x14ac:dyDescent="0.3">
      <c r="A92" s="320" t="s">
        <v>109</v>
      </c>
      <c r="B92" s="328">
        <f>'Calcul R84'!C206</f>
        <v>-149288.87567555392</v>
      </c>
      <c r="C92" s="328">
        <f>'Calcul R84'!D206</f>
        <v>-153106.63955257894</v>
      </c>
      <c r="D92" s="328">
        <f>'Calcul R84'!E206</f>
        <v>-155892.38315583402</v>
      </c>
      <c r="E92" s="328">
        <f>'Calcul R84'!F206</f>
        <v>-158185.65858332469</v>
      </c>
      <c r="F92" s="328">
        <f>'Calcul R84'!G206</f>
        <v>-166571.79406889848</v>
      </c>
      <c r="G92" s="328">
        <f>'Calcul R84'!H206</f>
        <v>-171546.17448739131</v>
      </c>
      <c r="H92" s="328">
        <f>'Calcul R84'!I206</f>
        <v>-169278.09819634742</v>
      </c>
      <c r="I92" s="328">
        <f>'Calcul R84'!J206</f>
        <v>-170880.76674354126</v>
      </c>
      <c r="J92" s="328">
        <f>'Calcul R84'!K206</f>
        <v>-175592.59154032578</v>
      </c>
      <c r="K92" s="328">
        <f>'Calcul R84'!L206</f>
        <v>-169539.66523199997</v>
      </c>
      <c r="L92" s="328">
        <f>'Calcul R84'!M206</f>
        <v>-169325.64303199999</v>
      </c>
      <c r="M92" s="328">
        <f>'Calcul R84'!N206</f>
        <v>-167941.474862</v>
      </c>
      <c r="N92" s="328">
        <f>'Calcul R84'!O206</f>
        <v>-172879.98807800002</v>
      </c>
      <c r="O92" s="328">
        <f>'Calcul R84'!P206</f>
        <v>-162763.44209999999</v>
      </c>
      <c r="V92" s="328">
        <f>'Calcul R84'!W206</f>
        <v>-166565.69999999998</v>
      </c>
      <c r="W92" s="328">
        <f>'Calcul R84'!X206</f>
        <v>-154265.03399999999</v>
      </c>
    </row>
    <row r="93" spans="1:23" x14ac:dyDescent="0.3">
      <c r="A93" s="320" t="s">
        <v>110</v>
      </c>
      <c r="B93" s="328">
        <f>'Calcul R84'!C211</f>
        <v>-29873.528780367975</v>
      </c>
      <c r="C93" s="328">
        <f>'Calcul R84'!D211</f>
        <v>-28146.951593959595</v>
      </c>
      <c r="D93" s="328">
        <f>'Calcul R84'!E211</f>
        <v>-32761.707038144759</v>
      </c>
      <c r="E93" s="328">
        <f>'Calcul R84'!F211</f>
        <v>-34094.254255705593</v>
      </c>
      <c r="F93" s="328">
        <f>'Calcul R84'!G211</f>
        <v>-35719.153813859477</v>
      </c>
      <c r="G93" s="328">
        <f>'Calcul R84'!H211</f>
        <v>-39120.726617990884</v>
      </c>
      <c r="H93" s="328">
        <f>'Calcul R84'!I211</f>
        <v>-40532.777603393843</v>
      </c>
      <c r="I93" s="328">
        <f>'Calcul R84'!J211</f>
        <v>-43160.349581571798</v>
      </c>
      <c r="J93" s="328">
        <f>'Calcul R84'!K211</f>
        <v>-50275.631920000007</v>
      </c>
      <c r="K93" s="328">
        <f>'Calcul R84'!L211</f>
        <v>-53618.235903999986</v>
      </c>
      <c r="L93" s="328">
        <f>'Calcul R84'!M211</f>
        <v>-52758.189727999998</v>
      </c>
      <c r="M93" s="328">
        <f>'Calcul R84'!N211</f>
        <v>-52016.141326000004</v>
      </c>
      <c r="N93" s="328">
        <f>'Calcul R84'!O211</f>
        <v>-58054.90209399999</v>
      </c>
      <c r="O93" s="328">
        <f>'Calcul R84'!P211</f>
        <v>-62411.6155</v>
      </c>
      <c r="V93" s="328">
        <f>'Calcul R84'!W211</f>
        <v>-61171.444000000003</v>
      </c>
      <c r="W93" s="328">
        <f>'Calcul R84'!X211</f>
        <v>-55782.580799999996</v>
      </c>
    </row>
    <row r="94" spans="1:23" x14ac:dyDescent="0.3">
      <c r="A94" s="320" t="s">
        <v>111</v>
      </c>
      <c r="B94" s="328">
        <f>'Calcul R84'!C216</f>
        <v>-14599.717518323148</v>
      </c>
      <c r="C94" s="328">
        <f>'Calcul R84'!D216</f>
        <v>-12461.074584726353</v>
      </c>
      <c r="D94" s="328">
        <f>'Calcul R84'!E216</f>
        <v>-11574.943931833104</v>
      </c>
      <c r="E94" s="328">
        <f>'Calcul R84'!F216</f>
        <v>-11522.158546633482</v>
      </c>
      <c r="F94" s="328">
        <f>'Calcul R84'!G216</f>
        <v>-12793.937408354581</v>
      </c>
      <c r="G94" s="328">
        <f>'Calcul R84'!H216</f>
        <v>-10303.048175938016</v>
      </c>
      <c r="H94" s="328">
        <f>'Calcul R84'!I216</f>
        <v>-9712.6664029516105</v>
      </c>
      <c r="I94" s="328">
        <f>'Calcul R84'!J216</f>
        <v>-11934.257651573222</v>
      </c>
      <c r="J94" s="328">
        <f>'Calcul R84'!K216</f>
        <v>-12736.49978550627</v>
      </c>
      <c r="K94" s="328">
        <f>'Calcul R84'!L216</f>
        <v>-14561.68333781362</v>
      </c>
      <c r="L94" s="328">
        <f>'Calcul R84'!M216</f>
        <v>-11176.414049014329</v>
      </c>
      <c r="M94" s="328">
        <f>'Calcul R84'!N216</f>
        <v>-12094.096940203859</v>
      </c>
      <c r="N94" s="328">
        <f>'Calcul R84'!O216</f>
        <v>-12866.446454435492</v>
      </c>
      <c r="O94" s="328">
        <f>'Calcul R84'!P216</f>
        <v>-17201.190131048392</v>
      </c>
      <c r="V94" s="328">
        <f>'Calcul R84'!W216</f>
        <v>-14279.896908602148</v>
      </c>
      <c r="W94" s="328">
        <f>'Calcul R84'!X216</f>
        <v>-10169.852491039428</v>
      </c>
    </row>
    <row r="95" spans="1:23" x14ac:dyDescent="0.3">
      <c r="A95" s="320" t="s">
        <v>44</v>
      </c>
      <c r="B95" s="328">
        <f>'Calcul R84'!C223</f>
        <v>-11427.440805601904</v>
      </c>
      <c r="C95" s="328">
        <f>'Calcul R84'!D223</f>
        <v>-6074.8303526696081</v>
      </c>
      <c r="D95" s="328">
        <f>'Calcul R84'!E223</f>
        <v>-3382.5652453327389</v>
      </c>
      <c r="E95" s="328">
        <f>'Calcul R84'!F223</f>
        <v>-7553.9018087368568</v>
      </c>
      <c r="F95" s="328">
        <f>'Calcul R84'!G223</f>
        <v>-6864.6534819874541</v>
      </c>
      <c r="G95" s="328">
        <f>'Calcul R84'!H223</f>
        <v>-7892.8424147540272</v>
      </c>
      <c r="H95" s="328">
        <f>'Calcul R84'!I223</f>
        <v>-7281.5992774920214</v>
      </c>
      <c r="I95" s="328">
        <f>'Calcul R84'!J223</f>
        <v>-12902.292433897155</v>
      </c>
      <c r="J95" s="328">
        <f>'Calcul R84'!K223</f>
        <v>-16466.092013256894</v>
      </c>
      <c r="K95" s="328">
        <f>'Calcul R84'!L223</f>
        <v>-17572.199964000014</v>
      </c>
      <c r="L95" s="328">
        <f>'Calcul R84'!M223</f>
        <v>-26610.292295999996</v>
      </c>
      <c r="M95" s="328">
        <f>'Calcul R84'!N223</f>
        <v>-25544.175621999999</v>
      </c>
      <c r="N95" s="328">
        <f>'Calcul R84'!O223</f>
        <v>-28696.833995000005</v>
      </c>
      <c r="O95" s="328">
        <f>'Calcul R84'!P223</f>
        <v>-32429.821489999998</v>
      </c>
      <c r="V95" s="328">
        <f>'Calcul R84'!W223</f>
        <v>-34939.622080000001</v>
      </c>
      <c r="W95" s="328">
        <f>'Calcul R84'!X223</f>
        <v>-33107.073880000004</v>
      </c>
    </row>
    <row r="96" spans="1:23" x14ac:dyDescent="0.3">
      <c r="A96" s="320" t="s">
        <v>112</v>
      </c>
      <c r="B96" s="328">
        <f>'Calcul R84'!C228</f>
        <v>1624.3821329003426</v>
      </c>
      <c r="C96" s="328">
        <f>'Calcul R84'!D228</f>
        <v>2810.8340083222242</v>
      </c>
      <c r="D96" s="328">
        <f>'Calcul R84'!E228</f>
        <v>3306.0318168259573</v>
      </c>
      <c r="E96" s="328">
        <f>'Calcul R84'!F228</f>
        <v>-439.21685865633151</v>
      </c>
      <c r="F96" s="328">
        <f>'Calcul R84'!G228</f>
        <v>2767.0451851109256</v>
      </c>
      <c r="G96" s="328">
        <f>'Calcul R84'!H228</f>
        <v>3836.3509838931086</v>
      </c>
      <c r="H96" s="328">
        <f>'Calcul R84'!I228</f>
        <v>2062.7793682788511</v>
      </c>
      <c r="I96" s="328">
        <f>'Calcul R84'!J228</f>
        <v>1038.1382434539662</v>
      </c>
      <c r="J96" s="328">
        <f>'Calcul R84'!K228</f>
        <v>1442.601775796865</v>
      </c>
      <c r="K96" s="328">
        <f>'Calcul R84'!L228</f>
        <v>-12218.446955847123</v>
      </c>
      <c r="L96" s="328">
        <f>'Calcul R84'!M228</f>
        <v>-4895.8746438403386</v>
      </c>
      <c r="M96" s="328">
        <f>'Calcul R84'!N228</f>
        <v>-15431.539683677425</v>
      </c>
      <c r="N96" s="328">
        <f>'Calcul R84'!O228</f>
        <v>-15625.56182605727</v>
      </c>
      <c r="O96" s="328">
        <f>'Calcul R84'!P228</f>
        <v>-22769.687487815034</v>
      </c>
      <c r="V96" s="328">
        <f>'Calcul R84'!W228</f>
        <v>-33419.314185483876</v>
      </c>
      <c r="W96" s="328">
        <f>'Calcul R84'!X228</f>
        <v>-15196.675146774207</v>
      </c>
    </row>
    <row r="97" spans="1:24" x14ac:dyDescent="0.3">
      <c r="A97" s="329" t="s">
        <v>56</v>
      </c>
      <c r="B97" s="109">
        <f>'Calcul R84'!C233</f>
        <v>-26616.356626840399</v>
      </c>
      <c r="C97" s="109">
        <f>'Calcul R84'!D233</f>
        <v>-45852.745397974591</v>
      </c>
      <c r="D97" s="109">
        <f>'Calcul R84'!E233</f>
        <v>-27638.829656349379</v>
      </c>
      <c r="E97" s="109">
        <f>'Calcul R84'!F233</f>
        <v>-31919.691326309505</v>
      </c>
      <c r="F97" s="109">
        <f>'Calcul R84'!G233</f>
        <v>-42480.342619324168</v>
      </c>
      <c r="G97" s="109">
        <f>'Calcul R84'!H233</f>
        <v>-40206.249543317841</v>
      </c>
      <c r="H97" s="109">
        <f>'Calcul R84'!I233</f>
        <v>-39807.228212906979</v>
      </c>
      <c r="I97" s="109">
        <f>'Calcul R84'!J233</f>
        <v>-39040.452344724843</v>
      </c>
      <c r="J97" s="109">
        <f>'Calcul R84'!K233</f>
        <v>-56559.943243330861</v>
      </c>
      <c r="K97" s="109">
        <f>'Calcul R84'!L233</f>
        <v>-60944.414097952802</v>
      </c>
      <c r="L97" s="109">
        <f>'Calcul R84'!M233</f>
        <v>-77609.36101348231</v>
      </c>
      <c r="M97" s="109">
        <f>'Calcul R84'!N233</f>
        <v>-44218.787049771738</v>
      </c>
      <c r="N97" s="109">
        <f>'Calcul R84'!O233</f>
        <v>-78277.936655656289</v>
      </c>
      <c r="O97" s="109">
        <f>'Calcul R84'!P233</f>
        <v>-52640.597995870172</v>
      </c>
      <c r="V97" s="109">
        <f>'Calcul R84'!W233</f>
        <v>-67637.509481824949</v>
      </c>
      <c r="W97" s="109">
        <f>'Calcul R84'!X233</f>
        <v>-76148.56173410351</v>
      </c>
    </row>
    <row r="98" spans="1:24" x14ac:dyDescent="0.3">
      <c r="A98" s="329" t="s">
        <v>599</v>
      </c>
      <c r="B98" s="109">
        <f>'Calcul R84'!C238</f>
        <v>-44559.807783546763</v>
      </c>
      <c r="C98" s="109">
        <f>'Calcul R84'!D238</f>
        <v>-28847.513697701001</v>
      </c>
      <c r="D98" s="109">
        <f>'Calcul R84'!E238</f>
        <v>-48728.937398440416</v>
      </c>
      <c r="E98" s="109">
        <f>'Calcul R84'!F238</f>
        <v>-59712.975716286339</v>
      </c>
      <c r="F98" s="109">
        <f>'Calcul R84'!G238</f>
        <v>-34549.52745497557</v>
      </c>
      <c r="G98" s="109">
        <f>'Calcul R84'!H238</f>
        <v>-49161.988212689161</v>
      </c>
      <c r="H98" s="109">
        <f>'Calcul R84'!I238</f>
        <v>-41900.398917704231</v>
      </c>
      <c r="I98" s="109">
        <f>'Calcul R84'!J238</f>
        <v>-37668.577306161598</v>
      </c>
      <c r="J98" s="109">
        <f>'Calcul R84'!K238</f>
        <v>-36057.852801895802</v>
      </c>
      <c r="K98" s="109">
        <f>'Calcul R84'!L238</f>
        <v>-42499.990206512288</v>
      </c>
      <c r="L98" s="109">
        <f>'Calcul R84'!M238</f>
        <v>-49623.929259884768</v>
      </c>
      <c r="M98" s="109">
        <f>'Calcul R84'!N238</f>
        <v>-35253.042185643309</v>
      </c>
      <c r="N98" s="109">
        <f>'Calcul R84'!O238</f>
        <v>-37117.221580226564</v>
      </c>
      <c r="O98" s="109">
        <f>'Calcul R84'!P238</f>
        <v>-32575.976494032177</v>
      </c>
      <c r="V98" s="109">
        <f>'Calcul R84'!W238</f>
        <v>-40220.173707493901</v>
      </c>
      <c r="W98" s="109">
        <f>'Calcul R84'!X238</f>
        <v>-40220.173707493901</v>
      </c>
    </row>
    <row r="99" spans="1:24" x14ac:dyDescent="0.3">
      <c r="A99" s="329" t="s">
        <v>555</v>
      </c>
      <c r="B99" s="109">
        <f>'Calcul R84'!C248</f>
        <v>-16161.196061520779</v>
      </c>
      <c r="C99" s="109">
        <f>'Calcul R84'!D248</f>
        <v>-14969.323907602509</v>
      </c>
      <c r="D99" s="109">
        <f>'Calcul R84'!E248</f>
        <v>-14579.38373964303</v>
      </c>
      <c r="E99" s="109">
        <f>'Calcul R84'!F248</f>
        <v>-15791.914041026765</v>
      </c>
      <c r="F99" s="109">
        <f>'Calcul R84'!G248</f>
        <v>-15614.878805911627</v>
      </c>
      <c r="G99" s="109">
        <f>'Calcul R84'!H248</f>
        <v>-16220.179137997324</v>
      </c>
      <c r="H99" s="109">
        <f>'Calcul R84'!I248</f>
        <v>-15435.691646541451</v>
      </c>
      <c r="I99" s="109">
        <f>'Calcul R84'!J248</f>
        <v>-15407.210978642317</v>
      </c>
      <c r="J99" s="109">
        <f>'Calcul R84'!K248</f>
        <v>-13950.168624429172</v>
      </c>
      <c r="K99" s="109">
        <f>'Calcul R84'!L248</f>
        <v>-14366.330303445984</v>
      </c>
      <c r="L99" s="109">
        <f>'Calcul R84'!M248</f>
        <v>-13583.650833931786</v>
      </c>
      <c r="M99" s="109">
        <f>'Calcul R84'!N248</f>
        <v>-14407.698031545659</v>
      </c>
      <c r="N99" s="109">
        <f>'Calcul R84'!O248</f>
        <v>-16759.045913376489</v>
      </c>
      <c r="O99" s="109">
        <f>'Calcul R84'!P248</f>
        <v>-16712.530658614305</v>
      </c>
      <c r="V99" s="109">
        <f>'Calcul R84'!W248</f>
        <v>-15768.506265018717</v>
      </c>
      <c r="W99" s="109">
        <f>'Calcul R84'!X248</f>
        <v>-16366.134732396567</v>
      </c>
    </row>
    <row r="100" spans="1:24" x14ac:dyDescent="0.3">
      <c r="A100" s="329" t="s">
        <v>89</v>
      </c>
      <c r="B100" s="109">
        <f>'Calcul R84'!C243</f>
        <v>993.88105687731434</v>
      </c>
      <c r="C100" s="109">
        <f>'Calcul R84'!D243</f>
        <v>2365.6916087689901</v>
      </c>
      <c r="D100" s="109">
        <f>'Calcul R84'!E243</f>
        <v>1271.9613841772182</v>
      </c>
      <c r="E100" s="109">
        <f>'Calcul R84'!F243</f>
        <v>26.434416059951172</v>
      </c>
      <c r="F100" s="109">
        <f>'Calcul R84'!G243</f>
        <v>2337.3756370778265</v>
      </c>
      <c r="G100" s="109">
        <f>'Calcul R84'!H243</f>
        <v>1071.6947854360028</v>
      </c>
      <c r="H100" s="109">
        <f>'Calcul R84'!I243</f>
        <v>-2702.2324076210757</v>
      </c>
      <c r="I100" s="109">
        <f>'Calcul R84'!J243</f>
        <v>-469.4544025542923</v>
      </c>
      <c r="J100" s="109">
        <f>'Calcul R84'!K243</f>
        <v>-1988.5174184354476</v>
      </c>
      <c r="K100" s="109">
        <f>'Calcul R84'!L243</f>
        <v>-1191.9131626775327</v>
      </c>
      <c r="L100" s="109">
        <f>'Calcul R84'!M243</f>
        <v>-3342.1793481894688</v>
      </c>
      <c r="M100" s="109">
        <f>'Calcul R84'!N243</f>
        <v>-14262.295259427077</v>
      </c>
      <c r="N100" s="109">
        <f>'Calcul R84'!O243</f>
        <v>-1811.5941757449859</v>
      </c>
      <c r="O100" s="109">
        <f>'Calcul R84'!P243</f>
        <v>-1859.1359848891555</v>
      </c>
      <c r="V100" s="109">
        <f>'Calcul R84'!W243</f>
        <v>-5948.9478625325555</v>
      </c>
      <c r="W100" s="109">
        <f>'Calcul R84'!X243</f>
        <v>-6867.6952556591805</v>
      </c>
    </row>
    <row r="101" spans="1:24" x14ac:dyDescent="0.3">
      <c r="A101" s="329" t="s">
        <v>115</v>
      </c>
      <c r="B101" s="109">
        <f>'Calcul R84'!C253</f>
        <v>-251092.43298972835</v>
      </c>
      <c r="C101" s="109">
        <f>'Calcul R84'!D253</f>
        <v>-238036.88917171874</v>
      </c>
      <c r="D101" s="109">
        <f>'Calcul R84'!E253</f>
        <v>-260832.00217245641</v>
      </c>
      <c r="E101" s="109">
        <f>'Calcul R84'!F253</f>
        <v>-263698.82176383329</v>
      </c>
      <c r="F101" s="109">
        <f>'Calcul R84'!G253</f>
        <v>-276545.81513328606</v>
      </c>
      <c r="G101" s="109">
        <f>'Calcul R84'!H253</f>
        <v>-271474.44381502178</v>
      </c>
      <c r="H101" s="109">
        <f>'Calcul R84'!I253</f>
        <v>-265430.70641129755</v>
      </c>
      <c r="I101" s="109">
        <f>'Calcul R84'!J253</f>
        <v>-269370.14872667444</v>
      </c>
      <c r="J101" s="109">
        <f>'Calcul R84'!K253</f>
        <v>-289360.08057837881</v>
      </c>
      <c r="K101" s="109">
        <f>'Calcul R84'!L253</f>
        <v>-292291.26169310196</v>
      </c>
      <c r="L101" s="109">
        <f>'Calcul R84'!M253</f>
        <v>-284198.55915531772</v>
      </c>
      <c r="M101" s="109">
        <f>'Calcul R84'!N253</f>
        <v>-288574.85588957911</v>
      </c>
      <c r="N101" s="109">
        <f>'Calcul R84'!O253</f>
        <v>-303353.51145697862</v>
      </c>
      <c r="O101" s="109">
        <f>'Calcul R84'!P253</f>
        <v>-306293.10786982212</v>
      </c>
      <c r="V101" s="109">
        <f>'Calcul R84'!W253</f>
        <v>-308136.79941375559</v>
      </c>
      <c r="W101" s="109">
        <f>'Calcul R84'!X253</f>
        <v>-264952.47692308732</v>
      </c>
    </row>
    <row r="102" spans="1:24" s="182" customFormat="1" x14ac:dyDescent="0.3">
      <c r="A102" s="330" t="s">
        <v>372</v>
      </c>
      <c r="B102" s="109">
        <f>'Calcul R84'!C254</f>
        <v>-346886.09285058343</v>
      </c>
      <c r="C102" s="109">
        <f>'Calcul R84'!D254</f>
        <v>-330317.07070249581</v>
      </c>
      <c r="D102" s="109">
        <f>'Calcul R84'!E254</f>
        <v>-353548.93704500276</v>
      </c>
      <c r="E102" s="109">
        <f>'Calcul R84'!F254</f>
        <v>-383239.34921367915</v>
      </c>
      <c r="F102" s="109">
        <f>'Calcul R84'!G254</f>
        <v>-374995.62537306262</v>
      </c>
      <c r="G102" s="109">
        <f>'Calcul R84'!H254</f>
        <v>-380940.55230873229</v>
      </c>
      <c r="H102" s="109">
        <f>'Calcul R84'!I254</f>
        <v>-372265.0008424765</v>
      </c>
      <c r="I102" s="109">
        <f>'Calcul R84'!J254</f>
        <v>-375683.51575861679</v>
      </c>
      <c r="J102" s="109">
        <f>'Calcul R84'!K254</f>
        <v>-417994.85750685801</v>
      </c>
      <c r="K102" s="109">
        <f>'Calcul R84'!L254</f>
        <v>-447422.87076388911</v>
      </c>
      <c r="L102" s="109">
        <f>'Calcul R84'!M254</f>
        <v>-468016.40829630097</v>
      </c>
      <c r="M102" s="109">
        <f>'Calcul R84'!N254</f>
        <v>-444018.97367901407</v>
      </c>
      <c r="N102" s="109">
        <f>'Calcul R84'!O254</f>
        <v>-492750.4027312774</v>
      </c>
      <c r="O102" s="109">
        <f>'Calcul R84'!P254</f>
        <v>-474742.17430282646</v>
      </c>
      <c r="V102" s="231"/>
    </row>
    <row r="103" spans="1:24" x14ac:dyDescent="0.3">
      <c r="A103" s="382" t="s">
        <v>536</v>
      </c>
      <c r="B103" s="121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09">
        <f>O102</f>
        <v>-474742.17430282646</v>
      </c>
      <c r="P103" s="109">
        <f>$V$103+(6/7)*($O$103-$V$103)</f>
        <v>-480937.97267528903</v>
      </c>
      <c r="Q103" s="109">
        <f>$V$103+(5/7)*($O$103-$V$103)</f>
        <v>-487133.77104775159</v>
      </c>
      <c r="R103" s="109">
        <f>$V$103+(4/7)*($O$103-$V$103)</f>
        <v>-493329.56942021416</v>
      </c>
      <c r="S103" s="109">
        <f>$V$103+(3/7)*($O$103-$V$103)</f>
        <v>-499525.36779267673</v>
      </c>
      <c r="T103" s="109">
        <f>$V$103+(2/7)*($O$103-$V$103)</f>
        <v>-505721.16616513929</v>
      </c>
      <c r="U103" s="109">
        <f>$V$103+(1/7)*($O$103-$V$103)</f>
        <v>-511916.96453760186</v>
      </c>
      <c r="V103" s="109">
        <f>'Calcul R84'!W254</f>
        <v>-518112.76291006443</v>
      </c>
      <c r="W103" s="121"/>
    </row>
    <row r="104" spans="1:24" x14ac:dyDescent="0.3">
      <c r="A104" s="382" t="s">
        <v>539</v>
      </c>
      <c r="O104" s="109">
        <f>O102</f>
        <v>-474742.17430282646</v>
      </c>
      <c r="P104" s="109">
        <f>$V$104+(6/7)*($O$104-$V$104)</f>
        <v>-473576.93129381957</v>
      </c>
      <c r="Q104" s="109">
        <f>$V$104+(5/7)*($O$104-$V$104)</f>
        <v>-472411.68828481267</v>
      </c>
      <c r="R104" s="109">
        <f>$V$104+(4/7)*($O$104-$V$104)</f>
        <v>-471246.44527580577</v>
      </c>
      <c r="S104" s="109">
        <f>$V$104+(3/7)*($O$104-$V$104)</f>
        <v>-470081.20226679894</v>
      </c>
      <c r="T104" s="109">
        <f>$V$104+(2/7)*($O$104-$V$104)</f>
        <v>-468915.95925779204</v>
      </c>
      <c r="U104" s="109">
        <f>$V$104+(1/7)*($O$104-$V$104)</f>
        <v>-467750.71624878515</v>
      </c>
      <c r="V104" s="109">
        <f>'Calcul R84'!X254</f>
        <v>-466585.47323977825</v>
      </c>
    </row>
    <row r="105" spans="1:24" s="508" customFormat="1" x14ac:dyDescent="0.3">
      <c r="A105" s="452"/>
      <c r="B105" s="117">
        <v>2010</v>
      </c>
      <c r="C105" s="117">
        <v>2011</v>
      </c>
      <c r="D105" s="117">
        <v>2012</v>
      </c>
      <c r="E105" s="117">
        <v>2013</v>
      </c>
      <c r="F105" s="117">
        <v>2014</v>
      </c>
      <c r="G105" s="117">
        <v>2015</v>
      </c>
      <c r="H105" s="117">
        <v>2016</v>
      </c>
      <c r="I105" s="117">
        <v>2017</v>
      </c>
      <c r="J105" s="117">
        <v>2018</v>
      </c>
      <c r="K105" s="117">
        <v>2019</v>
      </c>
      <c r="L105" s="117">
        <v>2020</v>
      </c>
      <c r="M105" s="117">
        <v>2021</v>
      </c>
      <c r="N105" s="117">
        <v>2022</v>
      </c>
      <c r="O105" s="117">
        <v>2023</v>
      </c>
      <c r="P105" s="117">
        <v>2024</v>
      </c>
      <c r="Q105" s="117">
        <v>2025</v>
      </c>
      <c r="R105" s="117">
        <v>2026</v>
      </c>
      <c r="S105" s="117">
        <v>2027</v>
      </c>
      <c r="T105" s="117">
        <v>2028</v>
      </c>
      <c r="U105" s="117">
        <v>2029</v>
      </c>
      <c r="V105" s="522">
        <v>2030</v>
      </c>
    </row>
    <row r="106" spans="1:24" s="508" customFormat="1" x14ac:dyDescent="0.3">
      <c r="A106" s="568" t="s">
        <v>619</v>
      </c>
      <c r="B106" s="120"/>
      <c r="C106" s="120"/>
      <c r="D106" s="120"/>
      <c r="E106" s="120"/>
      <c r="F106" s="120"/>
      <c r="G106" s="120"/>
      <c r="H106" s="120"/>
      <c r="I106" s="120"/>
      <c r="J106" s="120"/>
      <c r="K106" s="120"/>
      <c r="L106" s="120"/>
      <c r="M106" s="120"/>
      <c r="N106" s="120"/>
      <c r="O106" s="120"/>
      <c r="P106" s="120"/>
      <c r="Q106" s="120"/>
      <c r="R106" s="120"/>
      <c r="S106" s="120"/>
      <c r="T106" s="120"/>
      <c r="U106" s="120"/>
      <c r="V106" s="565"/>
    </row>
    <row r="107" spans="1:24" s="508" customFormat="1" x14ac:dyDescent="0.3">
      <c r="A107" s="452"/>
      <c r="O107" s="124"/>
      <c r="P107" s="124"/>
      <c r="Q107" s="124"/>
      <c r="R107" s="124"/>
      <c r="S107" s="124"/>
      <c r="T107" s="124"/>
      <c r="U107" s="124"/>
      <c r="V107" s="124"/>
    </row>
    <row r="108" spans="1:24" s="389" customFormat="1" x14ac:dyDescent="0.3">
      <c r="A108" s="518" t="s">
        <v>544</v>
      </c>
      <c r="B108" s="519">
        <f>'Calcul R84'!C256</f>
        <v>1247013</v>
      </c>
      <c r="C108" s="519">
        <f>'Calcul R84'!D256</f>
        <v>1244932</v>
      </c>
      <c r="D108" s="519">
        <f>'Calcul R84'!E256</f>
        <v>1245088</v>
      </c>
      <c r="E108" s="519">
        <f>'Calcul R84'!F256</f>
        <v>1238820</v>
      </c>
      <c r="F108" s="519">
        <f>'Calcul R84'!G256</f>
        <v>1242996</v>
      </c>
      <c r="G108" s="519">
        <f>'Calcul R84'!H256</f>
        <v>1240268</v>
      </c>
      <c r="H108" s="519">
        <f>'Calcul R84'!I256</f>
        <v>1244442</v>
      </c>
      <c r="I108" s="519">
        <f>'Calcul R84'!J256</f>
        <v>1235840</v>
      </c>
      <c r="J108" s="519">
        <f>'Calcul R84'!K256</f>
        <v>1228753</v>
      </c>
      <c r="K108" s="519">
        <f>'Calcul R84'!L256</f>
        <v>1184506</v>
      </c>
      <c r="L108" s="519">
        <f>'Calcul R84'!M256</f>
        <v>1064341</v>
      </c>
      <c r="M108" s="519">
        <f>'Calcul R84'!N256</f>
        <v>1076349</v>
      </c>
      <c r="N108" s="519">
        <f>'Calcul R84'!O256</f>
        <v>1065279</v>
      </c>
      <c r="O108" s="519">
        <f>'Calcul R84'!P256</f>
        <v>1062969</v>
      </c>
      <c r="P108" s="520"/>
      <c r="Q108" s="520"/>
      <c r="R108" s="520"/>
      <c r="S108" s="520"/>
      <c r="T108" s="520"/>
      <c r="U108" s="520"/>
      <c r="V108" s="519">
        <f>'Calcul R84'!W256</f>
        <v>1068199</v>
      </c>
      <c r="W108" s="536">
        <f>'Calcul R84'!X256</f>
        <v>1068199</v>
      </c>
      <c r="X108" s="389" t="s">
        <v>595</v>
      </c>
    </row>
    <row r="109" spans="1:24" s="389" customFormat="1" ht="28.8" x14ac:dyDescent="0.3">
      <c r="A109" s="521" t="s">
        <v>545</v>
      </c>
      <c r="B109" s="515">
        <f t="shared" ref="B109:O109" si="0">-B102/B108</f>
        <v>0.27817359791003254</v>
      </c>
      <c r="C109" s="515">
        <f t="shared" si="0"/>
        <v>0.26532940811425509</v>
      </c>
      <c r="D109" s="515">
        <f t="shared" si="0"/>
        <v>0.28395497912195988</v>
      </c>
      <c r="E109" s="515">
        <f t="shared" si="0"/>
        <v>0.30935838072817612</v>
      </c>
      <c r="F109" s="515">
        <f t="shared" si="0"/>
        <v>0.30168691240604362</v>
      </c>
      <c r="G109" s="515">
        <f t="shared" si="0"/>
        <v>0.30714374015029999</v>
      </c>
      <c r="H109" s="515">
        <f t="shared" si="0"/>
        <v>0.29914210613469849</v>
      </c>
      <c r="I109" s="515">
        <f t="shared" si="0"/>
        <v>0.30399041603979221</v>
      </c>
      <c r="J109" s="515">
        <f t="shared" si="0"/>
        <v>0.34017809723097969</v>
      </c>
      <c r="K109" s="515">
        <f t="shared" si="0"/>
        <v>0.37772950982425507</v>
      </c>
      <c r="L109" s="515">
        <f t="shared" si="0"/>
        <v>0.43972411877048895</v>
      </c>
      <c r="M109" s="515">
        <f t="shared" si="0"/>
        <v>0.41252323705323651</v>
      </c>
      <c r="N109" s="515">
        <f t="shared" si="0"/>
        <v>0.46255525804158104</v>
      </c>
      <c r="O109" s="515">
        <f t="shared" si="0"/>
        <v>0.4466190211594378</v>
      </c>
      <c r="P109" s="520"/>
      <c r="Q109" s="520"/>
      <c r="R109" s="520"/>
      <c r="S109" s="520"/>
      <c r="T109" s="520"/>
      <c r="U109" s="520"/>
      <c r="V109" s="516">
        <f>-V103/V108</f>
        <v>0.48503393366785069</v>
      </c>
      <c r="W109" s="517">
        <f>-V104/W108</f>
        <v>0.43679639583989338</v>
      </c>
    </row>
    <row r="111" spans="1:24" ht="28.8" x14ac:dyDescent="0.3">
      <c r="A111" s="333" t="s">
        <v>440</v>
      </c>
      <c r="B111" s="110" t="s">
        <v>277</v>
      </c>
      <c r="C111" s="110" t="s">
        <v>370</v>
      </c>
      <c r="D111" s="110" t="s">
        <v>375</v>
      </c>
      <c r="E111" s="506" t="s">
        <v>537</v>
      </c>
      <c r="F111" s="506" t="s">
        <v>538</v>
      </c>
    </row>
    <row r="112" spans="1:24" x14ac:dyDescent="0.3">
      <c r="A112" s="109" t="s">
        <v>56</v>
      </c>
      <c r="B112" s="109">
        <f>AVERAGE(B97:F97)</f>
        <v>-34901.593125359606</v>
      </c>
      <c r="C112" s="109">
        <f>AVERAGE(F97:J97)</f>
        <v>-43618.843192720946</v>
      </c>
      <c r="D112" s="109">
        <f>AVERAGE(K97:O97)</f>
        <v>-62738.219362546668</v>
      </c>
      <c r="E112" s="109">
        <f>V97</f>
        <v>-67637.509481824949</v>
      </c>
      <c r="F112" s="109">
        <f>W97</f>
        <v>-76148.56173410351</v>
      </c>
    </row>
    <row r="113" spans="1:23" x14ac:dyDescent="0.3">
      <c r="A113" s="109" t="s">
        <v>599</v>
      </c>
      <c r="B113" s="109">
        <f>AVERAGE(B98:F98)</f>
        <v>-43279.75241019002</v>
      </c>
      <c r="C113" s="109">
        <f>AVERAGE(F98:J98)</f>
        <v>-39867.668938685281</v>
      </c>
      <c r="D113" s="109">
        <f>AVERAGE(K98:O98)</f>
        <v>-39414.03194525982</v>
      </c>
      <c r="E113" s="109">
        <f>V98</f>
        <v>-40220.173707493901</v>
      </c>
      <c r="F113" s="109">
        <f>W98</f>
        <v>-40220.173707493901</v>
      </c>
    </row>
    <row r="114" spans="1:23" x14ac:dyDescent="0.3">
      <c r="A114" s="109" t="s">
        <v>113</v>
      </c>
      <c r="B114" s="109">
        <f>AVERAGE(B79:F79)</f>
        <v>-2503.7436826967969</v>
      </c>
      <c r="C114" s="109">
        <f>AVERAGE(F79:J79)</f>
        <v>-2725.193880716758</v>
      </c>
      <c r="D114" s="109">
        <f>AVERAGE(K79:O79)</f>
        <v>-8277.4939066792558</v>
      </c>
      <c r="E114" s="109">
        <f>V79</f>
        <v>-12041.889913954874</v>
      </c>
      <c r="F114" s="109">
        <f>W79</f>
        <v>-13726.681860263601</v>
      </c>
    </row>
    <row r="115" spans="1:23" x14ac:dyDescent="0.3">
      <c r="A115" s="109" t="s">
        <v>276</v>
      </c>
      <c r="B115" s="109">
        <f>AVERAGE(B99:F99)</f>
        <v>-15423.339311140942</v>
      </c>
      <c r="C115" s="109">
        <f>AVERAGE(F99:J99)</f>
        <v>-15325.625838704378</v>
      </c>
      <c r="D115" s="109">
        <f>AVERAGE(K99:O99)</f>
        <v>-15165.851148182846</v>
      </c>
      <c r="E115" s="109">
        <f t="shared" ref="E115:F117" si="1">V99</f>
        <v>-15768.506265018717</v>
      </c>
      <c r="F115" s="109">
        <f t="shared" si="1"/>
        <v>-16366.134732396567</v>
      </c>
    </row>
    <row r="116" spans="1:23" x14ac:dyDescent="0.3">
      <c r="A116" s="109" t="s">
        <v>89</v>
      </c>
      <c r="B116" s="109">
        <f>AVERAGE(B100:F100)</f>
        <v>1399.0688205922602</v>
      </c>
      <c r="C116" s="109">
        <f>AVERAGE(F100:J100)</f>
        <v>-350.22676121939725</v>
      </c>
      <c r="D116" s="109">
        <f>AVERAGE(K100:O100)</f>
        <v>-4493.423586185645</v>
      </c>
      <c r="E116" s="109">
        <f t="shared" si="1"/>
        <v>-5948.9478625325555</v>
      </c>
      <c r="F116" s="109">
        <f t="shared" si="1"/>
        <v>-6867.6952556591805</v>
      </c>
    </row>
    <row r="117" spans="1:23" x14ac:dyDescent="0.3">
      <c r="A117" s="110" t="s">
        <v>115</v>
      </c>
      <c r="B117" s="109">
        <f>AVERAGE(B101:F101)</f>
        <v>-258041.19224620456</v>
      </c>
      <c r="C117" s="109">
        <f>AVERAGE(F101:J101)</f>
        <v>-274436.23893293174</v>
      </c>
      <c r="D117" s="109">
        <f>AVERAGE(K101:O101)</f>
        <v>-294942.25921295991</v>
      </c>
      <c r="E117" s="109">
        <f t="shared" si="1"/>
        <v>-308136.79941375559</v>
      </c>
      <c r="F117" s="109">
        <f t="shared" si="1"/>
        <v>-264952.47692308732</v>
      </c>
    </row>
    <row r="118" spans="1:23" x14ac:dyDescent="0.3">
      <c r="A118" s="110" t="s">
        <v>19</v>
      </c>
      <c r="B118" s="109">
        <f>AVERAGE(B95:F95)</f>
        <v>-7060.6783388657113</v>
      </c>
      <c r="C118" s="109">
        <f>AVERAGE(F95:J95)</f>
        <v>-10281.495924277511</v>
      </c>
      <c r="D118" s="109">
        <f>AVERAGE(K95:O95)</f>
        <v>-26170.664673400002</v>
      </c>
      <c r="E118" s="109">
        <f>V95</f>
        <v>-34939.622080000001</v>
      </c>
      <c r="F118" s="109">
        <f>W95</f>
        <v>-33107.073880000004</v>
      </c>
    </row>
    <row r="119" spans="1:23" x14ac:dyDescent="0.3">
      <c r="A119" s="110" t="s">
        <v>116</v>
      </c>
      <c r="B119" s="109">
        <f>AVERAGE(B96:F96)</f>
        <v>2013.8152569006238</v>
      </c>
      <c r="C119" s="109">
        <f>AVERAGE(F96:J96)</f>
        <v>2229.3831113067436</v>
      </c>
      <c r="D119" s="109">
        <f>AVERAGE(K96:O96)</f>
        <v>-14188.222119447437</v>
      </c>
      <c r="E119" s="109">
        <f>V96</f>
        <v>-33419.314185483876</v>
      </c>
      <c r="F119" s="109">
        <f>W96</f>
        <v>-15196.675146774207</v>
      </c>
    </row>
    <row r="120" spans="1:23" x14ac:dyDescent="0.3">
      <c r="A120" s="109" t="s">
        <v>326</v>
      </c>
      <c r="B120" s="109">
        <f>SUM(B112:B119)</f>
        <v>-357797.41503696475</v>
      </c>
      <c r="C120" s="109">
        <f>SUM(C112:C119)</f>
        <v>-384375.91035794927</v>
      </c>
      <c r="D120" s="109">
        <f>SUM(D112:D119)</f>
        <v>-465390.16595466156</v>
      </c>
      <c r="E120" s="109">
        <f>SUM(E112:E119)</f>
        <v>-518112.76291006443</v>
      </c>
      <c r="F120" s="109">
        <f>SUM(F112:F119)</f>
        <v>-466585.47323977831</v>
      </c>
    </row>
    <row r="122" spans="1:23" ht="28.8" x14ac:dyDescent="0.3">
      <c r="A122" s="106" t="s">
        <v>381</v>
      </c>
      <c r="B122" s="9">
        <v>2010</v>
      </c>
      <c r="C122" s="9">
        <v>2011</v>
      </c>
      <c r="D122" s="9">
        <v>2012</v>
      </c>
      <c r="E122" s="9">
        <v>2013</v>
      </c>
      <c r="F122" s="9">
        <v>2014</v>
      </c>
      <c r="G122" s="9">
        <v>2015</v>
      </c>
      <c r="H122" s="9">
        <v>2016</v>
      </c>
      <c r="I122" s="9">
        <v>2017</v>
      </c>
      <c r="J122" s="9">
        <v>2018</v>
      </c>
      <c r="K122" s="9">
        <v>2019</v>
      </c>
      <c r="L122" s="9">
        <v>2020</v>
      </c>
      <c r="M122" s="9">
        <v>2021</v>
      </c>
      <c r="N122" s="9">
        <v>2022</v>
      </c>
      <c r="O122" s="9">
        <v>2023</v>
      </c>
      <c r="P122" s="9">
        <v>2024</v>
      </c>
      <c r="Q122" s="9">
        <v>2025</v>
      </c>
      <c r="R122" s="9">
        <v>2026</v>
      </c>
      <c r="S122" s="9">
        <v>2027</v>
      </c>
      <c r="T122" s="9">
        <v>2028</v>
      </c>
      <c r="U122" s="9">
        <v>2029</v>
      </c>
      <c r="V122" s="499" t="s">
        <v>537</v>
      </c>
      <c r="W122" s="500" t="s">
        <v>538</v>
      </c>
    </row>
    <row r="123" spans="1:23" x14ac:dyDescent="0.3">
      <c r="A123" s="9" t="s">
        <v>1</v>
      </c>
      <c r="B123" s="112">
        <f>'Calcul R84'!C70/'Calcul R84'!C72</f>
        <v>0.74979840161064082</v>
      </c>
      <c r="C123" s="112">
        <f>'Calcul R84'!D70/'Calcul R84'!D72</f>
        <v>0.64134130466128825</v>
      </c>
      <c r="D123" s="112">
        <f>'Calcul R84'!E70/'Calcul R84'!E72</f>
        <v>0.74896132169652252</v>
      </c>
      <c r="E123" s="112">
        <f>'Calcul R84'!F70/'Calcul R84'!F72</f>
        <v>0.74868771352735564</v>
      </c>
      <c r="F123" s="112">
        <f>'Calcul R84'!G70/'Calcul R84'!G72</f>
        <v>0.67200293122944244</v>
      </c>
      <c r="G123" s="112">
        <f>'Calcul R84'!H70/'Calcul R84'!H72</f>
        <v>0.70917101068152255</v>
      </c>
      <c r="H123" s="112">
        <f>'Calcul R84'!I70/'Calcul R84'!I72</f>
        <v>0.7069031529748907</v>
      </c>
      <c r="I123" s="112">
        <f>'Calcul R84'!J70/'Calcul R84'!J72</f>
        <v>0.68650853228722486</v>
      </c>
      <c r="J123" s="112">
        <f>'Calcul R84'!K70/'Calcul R84'!K72</f>
        <v>0.65371527657900186</v>
      </c>
      <c r="K123" s="112">
        <f>'Calcul R84'!L70/'Calcul R84'!L72</f>
        <v>0.64435504461646365</v>
      </c>
      <c r="L123" s="112">
        <f>'Calcul R84'!M70/'Calcul R84'!M72</f>
        <v>0.56342624486288295</v>
      </c>
      <c r="M123" s="112">
        <f>'Calcul R84'!N70/'Calcul R84'!N72</f>
        <v>0.65624129069786852</v>
      </c>
      <c r="N123" s="112">
        <f>'Calcul R84'!O70/'Calcul R84'!O72</f>
        <v>0.53044613968908916</v>
      </c>
      <c r="O123" s="112">
        <f>'Calcul R84'!P70/'Calcul R84'!P72</f>
        <v>0.64759918097100178</v>
      </c>
      <c r="P123" s="112"/>
      <c r="Q123" s="112"/>
      <c r="R123" s="112"/>
      <c r="S123" s="112"/>
      <c r="T123" s="112"/>
      <c r="U123" s="112"/>
      <c r="V123" s="112">
        <f>'Calcul R84'!W70/'Calcul R84'!W72</f>
        <v>0.58652443691042155</v>
      </c>
      <c r="W123" s="112">
        <f>'Calcul R84'!X70/'Calcul R84'!X72</f>
        <v>0.55859470181944904</v>
      </c>
    </row>
    <row r="124" spans="1:23" x14ac:dyDescent="0.3">
      <c r="A124" s="9" t="s">
        <v>4</v>
      </c>
      <c r="B124" s="112">
        <f>'Calcul R84'!C77/'Calcul R84'!C79</f>
        <v>0.42950480575511041</v>
      </c>
      <c r="C124" s="112">
        <f>'Calcul R84'!D77/'Calcul R84'!D79</f>
        <v>0.27276825382373882</v>
      </c>
      <c r="D124" s="112">
        <f>'Calcul R84'!E77/'Calcul R84'!E79</f>
        <v>0.36704023331805086</v>
      </c>
      <c r="E124" s="112">
        <f>'Calcul R84'!F77/'Calcul R84'!F79</f>
        <v>0.29733480447022265</v>
      </c>
      <c r="F124" s="112">
        <f>'Calcul R84'!G77/'Calcul R84'!G79</f>
        <v>0.20347094625751364</v>
      </c>
      <c r="G124" s="112">
        <f>'Calcul R84'!H77/'Calcul R84'!H79</f>
        <v>0.29859965896486113</v>
      </c>
      <c r="H124" s="112">
        <f>'Calcul R84'!I77/'Calcul R84'!I79</f>
        <v>0.40610918537602764</v>
      </c>
      <c r="I124" s="112">
        <f>'Calcul R84'!J77/'Calcul R84'!J79</f>
        <v>0.45813851674798389</v>
      </c>
      <c r="J124" s="112">
        <f>'Calcul R84'!K77/'Calcul R84'!K79</f>
        <v>0.40018928553427285</v>
      </c>
      <c r="K124" s="112">
        <f>'Calcul R84'!L77/'Calcul R84'!L79</f>
        <v>0.37761341199430787</v>
      </c>
      <c r="L124" s="112">
        <f>'Calcul R84'!M77/'Calcul R84'!M79</f>
        <v>0.29349219426168954</v>
      </c>
      <c r="M124" s="112">
        <f>'Calcul R84'!N77/'Calcul R84'!N79</f>
        <v>0.40567586323184918</v>
      </c>
      <c r="N124" s="112">
        <f>'Calcul R84'!O77/'Calcul R84'!O79</f>
        <v>0.36374886879464324</v>
      </c>
      <c r="O124" s="112">
        <f>'Calcul R84'!P77/'Calcul R84'!P79</f>
        <v>0.36169364266026222</v>
      </c>
      <c r="P124" s="112"/>
      <c r="Q124" s="112"/>
      <c r="R124" s="112"/>
      <c r="S124" s="112"/>
      <c r="T124" s="112"/>
      <c r="U124" s="112"/>
      <c r="V124" s="112">
        <f>'Calcul R84'!W77/'Calcul R84'!W79</f>
        <v>0.34731831423712539</v>
      </c>
      <c r="W124" s="112">
        <f>'Calcul R84'!X77/'Calcul R84'!X79</f>
        <v>0.33077934689250038</v>
      </c>
    </row>
    <row r="125" spans="1:23" x14ac:dyDescent="0.3">
      <c r="A125" s="9" t="s">
        <v>84</v>
      </c>
      <c r="B125" s="112">
        <f>'Calcul R84'!C84/'Calcul R84'!C86</f>
        <v>2.7931258611991368</v>
      </c>
      <c r="C125" s="112">
        <f>'Calcul R84'!D84/'Calcul R84'!D86</f>
        <v>2.8139150622401083</v>
      </c>
      <c r="D125" s="112">
        <f>'Calcul R84'!E84/'Calcul R84'!E86</f>
        <v>2.7402688096275822</v>
      </c>
      <c r="E125" s="112">
        <f>'Calcul R84'!F84/'Calcul R84'!F86</f>
        <v>2.369947827820384</v>
      </c>
      <c r="F125" s="112">
        <f>'Calcul R84'!G84/'Calcul R84'!G86</f>
        <v>2.0084694616372958</v>
      </c>
      <c r="G125" s="112">
        <f>'Calcul R84'!H84/'Calcul R84'!H86</f>
        <v>2.0448079389484337</v>
      </c>
      <c r="H125" s="112">
        <f>'Calcul R84'!I84/'Calcul R84'!I86</f>
        <v>1.8706353261020088</v>
      </c>
      <c r="I125" s="112">
        <f>'Calcul R84'!J84/'Calcul R84'!J86</f>
        <v>1.8320729888612703</v>
      </c>
      <c r="J125" s="112">
        <f>'Calcul R84'!K84/'Calcul R84'!K86</f>
        <v>0.92644441547112844</v>
      </c>
      <c r="K125" s="112">
        <f>'Calcul R84'!L84/'Calcul R84'!L86</f>
        <v>0.73794016882216207</v>
      </c>
      <c r="L125" s="112">
        <f>'Calcul R84'!M84/'Calcul R84'!M86</f>
        <v>0.78049044702110404</v>
      </c>
      <c r="M125" s="112">
        <f>'Calcul R84'!N84/'Calcul R84'!N86</f>
        <v>2.1121252732233526</v>
      </c>
      <c r="N125" s="112">
        <f>'Calcul R84'!O84/'Calcul R84'!O86</f>
        <v>1.3446645695082891</v>
      </c>
      <c r="O125" s="112">
        <f>'Calcul R84'!P84/'Calcul R84'!P86</f>
        <v>1.3848996352643752</v>
      </c>
      <c r="P125" s="112"/>
      <c r="Q125" s="112"/>
      <c r="R125" s="112"/>
      <c r="S125" s="112"/>
      <c r="T125" s="112"/>
      <c r="U125" s="112"/>
      <c r="V125" s="112">
        <f>'Calcul R84'!W84/'Calcul R84'!W86</f>
        <v>1.2423029945134341</v>
      </c>
      <c r="W125" s="112">
        <f>'Calcul R84'!X84/'Calcul R84'!X86</f>
        <v>1.1831457090604129</v>
      </c>
    </row>
    <row r="126" spans="1:23" x14ac:dyDescent="0.3">
      <c r="A126" s="9" t="s">
        <v>104</v>
      </c>
      <c r="B126" s="112">
        <f>'Calcul R84'!C92/'Calcul R84'!C94</f>
        <v>0.20671038308040965</v>
      </c>
      <c r="C126" s="112">
        <f>'Calcul R84'!D92/'Calcul R84'!D94</f>
        <v>0.32166062176528726</v>
      </c>
      <c r="D126" s="112">
        <f>'Calcul R84'!E92/'Calcul R84'!E94</f>
        <v>0.26889821024154353</v>
      </c>
      <c r="E126" s="112">
        <f>'Calcul R84'!F92/'Calcul R84'!F94</f>
        <v>0.29989428395620776</v>
      </c>
      <c r="F126" s="112">
        <f>'Calcul R84'!G92/'Calcul R84'!G94</f>
        <v>0.78721910140998652</v>
      </c>
      <c r="G126" s="112">
        <f>'Calcul R84'!H92/'Calcul R84'!H94</f>
        <v>0.27199822150246883</v>
      </c>
      <c r="H126" s="112">
        <f>'Calcul R84'!I92/'Calcul R84'!I94</f>
        <v>0.32701018850723157</v>
      </c>
      <c r="I126" s="112">
        <f>'Calcul R84'!J92/'Calcul R84'!J94</f>
        <v>0.37533096990971537</v>
      </c>
      <c r="J126" s="112">
        <f>'Calcul R84'!K92/'Calcul R84'!K94</f>
        <v>0.37994585474049747</v>
      </c>
      <c r="K126" s="112">
        <f>'Calcul R84'!L92/'Calcul R84'!L94</f>
        <v>0.20611821200301361</v>
      </c>
      <c r="L126" s="112">
        <f>'Calcul R84'!M92/'Calcul R84'!M94</f>
        <v>0.19674845648371284</v>
      </c>
      <c r="M126" s="112">
        <f>'Calcul R84'!N92/'Calcul R84'!N94</f>
        <v>0.21389080568677318</v>
      </c>
      <c r="N126" s="112">
        <f>'Calcul R84'!O92/'Calcul R84'!O94</f>
        <v>0.26795997586548831</v>
      </c>
      <c r="O126" s="112">
        <f>'Calcul R84'!P92/'Calcul R84'!P94</f>
        <v>0.32978543390424314</v>
      </c>
      <c r="P126" s="112"/>
      <c r="Q126" s="112"/>
      <c r="R126" s="112"/>
      <c r="S126" s="112"/>
      <c r="T126" s="112"/>
      <c r="U126" s="112"/>
      <c r="V126" s="112">
        <f>'Calcul R84'!W92/'Calcul R84'!W94</f>
        <v>0.25099925289365937</v>
      </c>
      <c r="W126" s="112">
        <f>'Calcul R84'!X92/'Calcul R84'!X94</f>
        <v>0.25099925289365937</v>
      </c>
    </row>
    <row r="127" spans="1:23" x14ac:dyDescent="0.3">
      <c r="A127" s="9" t="s">
        <v>105</v>
      </c>
      <c r="B127" s="112">
        <f>'Calcul R84'!C99/'Calcul R84'!C101</f>
        <v>0.81212188631470938</v>
      </c>
      <c r="C127" s="112">
        <f>'Calcul R84'!D99/'Calcul R84'!D101</f>
        <v>0.9031156094663213</v>
      </c>
      <c r="D127" s="112">
        <f>'Calcul R84'!E99/'Calcul R84'!E101</f>
        <v>0.74044445499343969</v>
      </c>
      <c r="E127" s="112">
        <f>'Calcul R84'!F99/'Calcul R84'!F101</f>
        <v>0.46914427087260946</v>
      </c>
      <c r="F127" s="112">
        <f>'Calcul R84'!G99/'Calcul R84'!G101</f>
        <v>0.60060613721775913</v>
      </c>
      <c r="G127" s="112">
        <f>'Calcul R84'!H99/'Calcul R84'!H101</f>
        <v>0.43869452984973062</v>
      </c>
      <c r="H127" s="112">
        <f>'Calcul R84'!I99/'Calcul R84'!I101</f>
        <v>0.4764199198004393</v>
      </c>
      <c r="I127" s="112">
        <f>'Calcul R84'!J99/'Calcul R84'!J101</f>
        <v>0.56627902518941675</v>
      </c>
      <c r="J127" s="112">
        <f>'Calcul R84'!K99/'Calcul R84'!K101</f>
        <v>0.4842139501157704</v>
      </c>
      <c r="K127" s="112">
        <f>'Calcul R84'!L99/'Calcul R84'!L101</f>
        <v>0.4900423178799384</v>
      </c>
      <c r="L127" s="112">
        <f>'Calcul R84'!M99/'Calcul R84'!M101</f>
        <v>0.57813975117913941</v>
      </c>
      <c r="M127" s="112">
        <f>'Calcul R84'!N99/'Calcul R84'!N101</f>
        <v>0.67050441411069572</v>
      </c>
      <c r="N127" s="112">
        <f>'Calcul R84'!O99/'Calcul R84'!O101</f>
        <v>0.75721156850486671</v>
      </c>
      <c r="O127" s="112">
        <f>'Calcul R84'!P99/'Calcul R84'!P101</f>
        <v>0.80130664825515197</v>
      </c>
      <c r="P127" s="112"/>
      <c r="Q127" s="112"/>
      <c r="R127" s="112"/>
      <c r="S127" s="112"/>
      <c r="T127" s="112"/>
      <c r="U127" s="112"/>
      <c r="V127" s="112">
        <f>'Calcul R84'!W99/'Calcul R84'!W101</f>
        <v>0.70110451336537394</v>
      </c>
      <c r="W127" s="112">
        <f>'Calcul R84'!X99/'Calcul R84'!X101</f>
        <v>0.70110451336537394</v>
      </c>
    </row>
    <row r="128" spans="1:23" x14ac:dyDescent="0.3">
      <c r="A128" s="9" t="s">
        <v>85</v>
      </c>
      <c r="B128" s="112">
        <f>'Calcul R84'!C106/'Calcul R84'!C108</f>
        <v>0.18067065612455788</v>
      </c>
      <c r="C128" s="112">
        <f>'Calcul R84'!D106/'Calcul R84'!D108</f>
        <v>0.22885301079570108</v>
      </c>
      <c r="D128" s="112">
        <f>'Calcul R84'!E106/'Calcul R84'!E108</f>
        <v>0.13776342759984325</v>
      </c>
      <c r="E128" s="112">
        <f>'Calcul R84'!F106/'Calcul R84'!F108</f>
        <v>0.15608859288641302</v>
      </c>
      <c r="F128" s="112">
        <f>'Calcul R84'!G106/'Calcul R84'!G108</f>
        <v>0.27753568633726766</v>
      </c>
      <c r="G128" s="112">
        <f>'Calcul R84'!H106/'Calcul R84'!H108</f>
        <v>0.37135154231003908</v>
      </c>
      <c r="H128" s="112">
        <f>'Calcul R84'!I106/'Calcul R84'!I108</f>
        <v>0.36590482656729084</v>
      </c>
      <c r="I128" s="112">
        <f>'Calcul R84'!J106/'Calcul R84'!J108</f>
        <v>0.40978929141328169</v>
      </c>
      <c r="J128" s="112">
        <f>'Calcul R84'!K106/'Calcul R84'!K108</f>
        <v>0.47222712878478262</v>
      </c>
      <c r="K128" s="112">
        <f>'Calcul R84'!L106/'Calcul R84'!L108</f>
        <v>0.42454087571065496</v>
      </c>
      <c r="L128" s="112">
        <f>'Calcul R84'!M106/'Calcul R84'!M108</f>
        <v>0.3343251142739333</v>
      </c>
      <c r="M128" s="112">
        <f>'Calcul R84'!N106/'Calcul R84'!N108</f>
        <v>0.40124880708970501</v>
      </c>
      <c r="N128" s="112">
        <f>'Calcul R84'!O106/'Calcul R84'!O108</f>
        <v>0.44529543479625677</v>
      </c>
      <c r="O128" s="112">
        <f>'Calcul R84'!P106/'Calcul R84'!P108</f>
        <v>0.46514768185319644</v>
      </c>
      <c r="P128" s="112"/>
      <c r="Q128" s="112"/>
      <c r="R128" s="112"/>
      <c r="S128" s="112"/>
      <c r="T128" s="112"/>
      <c r="U128" s="112"/>
      <c r="V128" s="112">
        <f>'Calcul R84'!W106/'Calcul R84'!W108</f>
        <v>0.41022368015567973</v>
      </c>
      <c r="W128" s="112">
        <f>'Calcul R84'!X106/'Calcul R84'!X108</f>
        <v>0.41022368015567973</v>
      </c>
    </row>
    <row r="129" spans="1:23" x14ac:dyDescent="0.3">
      <c r="A129" s="9" t="s">
        <v>113</v>
      </c>
      <c r="B129" s="112">
        <f>'Calcul R84'!C114/'Calcul R84'!C116</f>
        <v>1.0649180126348916</v>
      </c>
      <c r="C129" s="112">
        <f>'Calcul R84'!D114/'Calcul R84'!D116</f>
        <v>0.74536281299995644</v>
      </c>
      <c r="D129" s="112">
        <f>'Calcul R84'!E114/'Calcul R84'!E116</f>
        <v>0.55120449432638718</v>
      </c>
      <c r="E129" s="112">
        <f>'Calcul R84'!F114/'Calcul R84'!F116</f>
        <v>0.44625793688360577</v>
      </c>
      <c r="F129" s="112">
        <f>'Calcul R84'!G114/'Calcul R84'!G116</f>
        <v>0.51155445577644809</v>
      </c>
      <c r="G129" s="112">
        <f>'Calcul R84'!H114/'Calcul R84'!H116</f>
        <v>0.84916442195847119</v>
      </c>
      <c r="H129" s="112">
        <f>'Calcul R84'!I114/'Calcul R84'!I116</f>
        <v>0.7568752537522806</v>
      </c>
      <c r="I129" s="112">
        <f>'Calcul R84'!J114/'Calcul R84'!J116</f>
        <v>0.75968334376305913</v>
      </c>
      <c r="J129" s="112">
        <f>'Calcul R84'!K114/'Calcul R84'!K116</f>
        <v>0.52165999360663295</v>
      </c>
      <c r="K129" s="112">
        <f>'Calcul R84'!L114/'Calcul R84'!L116</f>
        <v>0.47672830561460305</v>
      </c>
      <c r="L129" s="112">
        <f>'Calcul R84'!M114/'Calcul R84'!M116</f>
        <v>0.42680349747312085</v>
      </c>
      <c r="M129" s="112">
        <f>'Calcul R84'!N114/'Calcul R84'!N116</f>
        <v>0.45419562115281992</v>
      </c>
      <c r="N129" s="112">
        <f>'Calcul R84'!O114/'Calcul R84'!O116</f>
        <v>0.29282726207629728</v>
      </c>
      <c r="O129" s="112">
        <f>'Calcul R84'!P114/'Calcul R84'!P116</f>
        <v>0.32490446929555195</v>
      </c>
      <c r="P129" s="112"/>
      <c r="Q129" s="112"/>
      <c r="R129" s="112"/>
      <c r="S129" s="112"/>
      <c r="T129" s="112"/>
      <c r="U129" s="112"/>
      <c r="V129" s="112">
        <f>'Calcul R84'!W114/'Calcul R84'!W116</f>
        <v>0.28525952772163288</v>
      </c>
      <c r="W129" s="112">
        <f>'Calcul R84'!X114/'Calcul R84'!X116</f>
        <v>0.25932684338330259</v>
      </c>
    </row>
    <row r="130" spans="1:23" x14ac:dyDescent="0.3">
      <c r="A130" s="9" t="s">
        <v>106</v>
      </c>
      <c r="B130" s="112">
        <f>'Calcul R84'!C121/'Calcul R84'!C123</f>
        <v>5.8884661538128123E-2</v>
      </c>
      <c r="C130" s="112">
        <f>'Calcul R84'!D121/'Calcul R84'!D123</f>
        <v>6.7590375602075023E-2</v>
      </c>
      <c r="D130" s="112">
        <f>'Calcul R84'!E121/'Calcul R84'!E123</f>
        <v>7.4973963784016301E-2</v>
      </c>
      <c r="E130" s="112">
        <f>'Calcul R84'!F121/'Calcul R84'!F123</f>
        <v>8.042684864560716E-2</v>
      </c>
      <c r="F130" s="112">
        <f>'Calcul R84'!G121/'Calcul R84'!G123</f>
        <v>8.0972825388285055E-2</v>
      </c>
      <c r="G130" s="112">
        <f>'Calcul R84'!H121/'Calcul R84'!H123</f>
        <v>8.036752755831858E-2</v>
      </c>
      <c r="H130" s="112">
        <f>'Calcul R84'!I121/'Calcul R84'!I123</f>
        <v>8.7812270703808037E-2</v>
      </c>
      <c r="I130" s="112">
        <f>'Calcul R84'!J121/'Calcul R84'!J123</f>
        <v>9.14929369324637E-2</v>
      </c>
      <c r="J130" s="112">
        <f>'Calcul R84'!K121/'Calcul R84'!K123</f>
        <v>0.10127175625340079</v>
      </c>
      <c r="K130" s="112">
        <f>'Calcul R84'!L121/'Calcul R84'!L123</f>
        <v>0.10690040346563442</v>
      </c>
      <c r="L130" s="112">
        <f>'Calcul R84'!M121/'Calcul R84'!M123</f>
        <v>0.10646937536832438</v>
      </c>
      <c r="M130" s="112">
        <f>'Calcul R84'!N121/'Calcul R84'!N123</f>
        <v>9.4600952824987178E-2</v>
      </c>
      <c r="N130" s="112">
        <f>'Calcul R84'!O121/'Calcul R84'!O123</f>
        <v>0.10010554913318891</v>
      </c>
      <c r="O130" s="112">
        <f>'Calcul R84'!P121/'Calcul R84'!P123</f>
        <v>8.4905746691756129E-2</v>
      </c>
      <c r="P130" s="112"/>
      <c r="Q130" s="112"/>
      <c r="R130" s="112"/>
      <c r="S130" s="112"/>
      <c r="T130" s="112"/>
      <c r="U130" s="112"/>
      <c r="V130" s="112">
        <f>'Calcul R84'!W121/'Calcul R84'!W123</f>
        <v>9.6978895289084335E-2</v>
      </c>
      <c r="W130" s="112">
        <f>'Calcul R84'!X121/'Calcul R84'!X123</f>
        <v>9.2360852656270795E-2</v>
      </c>
    </row>
    <row r="131" spans="1:23" x14ac:dyDescent="0.3">
      <c r="A131" s="9" t="s">
        <v>107</v>
      </c>
      <c r="B131" s="112">
        <f>'Calcul R84'!C128/'Calcul R84'!C130</f>
        <v>0.16064432875324006</v>
      </c>
      <c r="C131" s="112">
        <f>'Calcul R84'!D128/'Calcul R84'!D130</f>
        <v>0.20227098660620976</v>
      </c>
      <c r="D131" s="112">
        <f>'Calcul R84'!E128/'Calcul R84'!E130</f>
        <v>0.19499606751469409</v>
      </c>
      <c r="E131" s="112">
        <f>'Calcul R84'!F128/'Calcul R84'!F130</f>
        <v>0.20566074577356044</v>
      </c>
      <c r="F131" s="112">
        <f>'Calcul R84'!G128/'Calcul R84'!G130</f>
        <v>0.24068949663608039</v>
      </c>
      <c r="G131" s="112">
        <f>'Calcul R84'!H128/'Calcul R84'!H130</f>
        <v>0.22657303562282177</v>
      </c>
      <c r="H131" s="112">
        <f>'Calcul R84'!I128/'Calcul R84'!I130</f>
        <v>0.2610269019059584</v>
      </c>
      <c r="I131" s="112">
        <f>'Calcul R84'!J128/'Calcul R84'!J130</f>
        <v>0.26590899503293752</v>
      </c>
      <c r="J131" s="112">
        <f>'Calcul R84'!K128/'Calcul R84'!K130</f>
        <v>0.28340007148711877</v>
      </c>
      <c r="K131" s="112">
        <f>'Calcul R84'!L128/'Calcul R84'!L130</f>
        <v>0.29809288757323477</v>
      </c>
      <c r="L131" s="112">
        <f>'Calcul R84'!M128/'Calcul R84'!M130</f>
        <v>0.32386866879617582</v>
      </c>
      <c r="M131" s="112">
        <f>'Calcul R84'!N128/'Calcul R84'!N130</f>
        <v>0.29575738286865549</v>
      </c>
      <c r="N131" s="112">
        <f>'Calcul R84'!O128/'Calcul R84'!O130</f>
        <v>0.24651589164864707</v>
      </c>
      <c r="O131" s="112">
        <f>'Calcul R84'!P128/'Calcul R84'!P130</f>
        <v>0.28341825887681271</v>
      </c>
      <c r="P131" s="112"/>
      <c r="Q131" s="112"/>
      <c r="R131" s="112"/>
      <c r="S131" s="112"/>
      <c r="T131" s="112"/>
      <c r="U131" s="112"/>
      <c r="V131" s="112">
        <f>'Calcul R84'!W128/'Calcul R84'!W130</f>
        <v>0.28169470019368315</v>
      </c>
      <c r="W131" s="112">
        <f>'Calcul R84'!X128/'Calcul R84'!X130</f>
        <v>0.28169470019368315</v>
      </c>
    </row>
    <row r="132" spans="1:23" x14ac:dyDescent="0.3">
      <c r="A132" s="9" t="s">
        <v>23</v>
      </c>
      <c r="B132" s="112">
        <f>'Calcul R84'!C135/'Calcul R84'!C137</f>
        <v>0.33613100049536121</v>
      </c>
      <c r="C132" s="112">
        <f>'Calcul R84'!D135/'Calcul R84'!D137</f>
        <v>0.4026474509835784</v>
      </c>
      <c r="D132" s="112">
        <f>'Calcul R84'!E135/'Calcul R84'!E137</f>
        <v>0.42312543158524479</v>
      </c>
      <c r="E132" s="112">
        <f>'Calcul R84'!F135/'Calcul R84'!F137</f>
        <v>0.40229432659890996</v>
      </c>
      <c r="F132" s="112">
        <f>'Calcul R84'!G135/'Calcul R84'!G137</f>
        <v>0.49134681493911148</v>
      </c>
      <c r="G132" s="112">
        <f>'Calcul R84'!H135/'Calcul R84'!H137</f>
        <v>0.42282074564056193</v>
      </c>
      <c r="H132" s="112">
        <f>'Calcul R84'!I135/'Calcul R84'!I137</f>
        <v>0.34046207287408448</v>
      </c>
      <c r="I132" s="112">
        <f>'Calcul R84'!J135/'Calcul R84'!J137</f>
        <v>0.33021105282709556</v>
      </c>
      <c r="J132" s="112">
        <f>'Calcul R84'!K135/'Calcul R84'!K137</f>
        <v>0.39781269468082364</v>
      </c>
      <c r="K132" s="112">
        <f>'Calcul R84'!L135/'Calcul R84'!L137</f>
        <v>0.37995621421953785</v>
      </c>
      <c r="L132" s="112">
        <f>'Calcul R84'!M135/'Calcul R84'!M137</f>
        <v>0.34292363226205302</v>
      </c>
      <c r="M132" s="112">
        <f>'Calcul R84'!N135/'Calcul R84'!N137</f>
        <v>0.41203419626337418</v>
      </c>
      <c r="N132" s="112">
        <f>'Calcul R84'!O135/'Calcul R84'!O137</f>
        <v>0.36617504356495234</v>
      </c>
      <c r="O132" s="112">
        <f>'Calcul R84'!P135/'Calcul R84'!P137</f>
        <v>0.33739191391493017</v>
      </c>
      <c r="P132" s="112"/>
      <c r="Q132" s="112"/>
      <c r="R132" s="112"/>
      <c r="S132" s="112"/>
      <c r="T132" s="112"/>
      <c r="U132" s="112"/>
      <c r="V132" s="112">
        <f>'Calcul R84'!W135/'Calcul R84'!W137</f>
        <v>0.3635419717999841</v>
      </c>
      <c r="W132" s="112">
        <f>'Calcul R84'!X135/'Calcul R84'!X137</f>
        <v>0.34623044933331826</v>
      </c>
    </row>
    <row r="133" spans="1:23" x14ac:dyDescent="0.3">
      <c r="A133" s="9" t="s">
        <v>21</v>
      </c>
      <c r="B133" s="112">
        <f>'Calcul R84'!C142/'Calcul R84'!C144</f>
        <v>0.83867282043864622</v>
      </c>
      <c r="C133" s="112">
        <f>'Calcul R84'!D142/'Calcul R84'!D144</f>
        <v>0.85410595157196501</v>
      </c>
      <c r="D133" s="112">
        <f>'Calcul R84'!E142/'Calcul R84'!E144</f>
        <v>0.80887198763472601</v>
      </c>
      <c r="E133" s="112">
        <f>'Calcul R84'!F142/'Calcul R84'!F144</f>
        <v>0.74237212804346664</v>
      </c>
      <c r="F133" s="112">
        <f>'Calcul R84'!G142/'Calcul R84'!G144</f>
        <v>0.66243529331750017</v>
      </c>
      <c r="G133" s="112">
        <f>'Calcul R84'!H142/'Calcul R84'!H144</f>
        <v>0.69044300117983937</v>
      </c>
      <c r="H133" s="112">
        <f>'Calcul R84'!I142/'Calcul R84'!I144</f>
        <v>0.61614681071076283</v>
      </c>
      <c r="I133" s="112">
        <f>'Calcul R84'!J142/'Calcul R84'!J144</f>
        <v>0.70933245473119144</v>
      </c>
      <c r="J133" s="112">
        <f>'Calcul R84'!K142/'Calcul R84'!K144</f>
        <v>0.66709574210105449</v>
      </c>
      <c r="K133" s="112">
        <f>'Calcul R84'!L142/'Calcul R84'!L144</f>
        <v>0.63959159250209663</v>
      </c>
      <c r="L133" s="112">
        <f>'Calcul R84'!M142/'Calcul R84'!M144</f>
        <v>0.62169018395090325</v>
      </c>
      <c r="M133" s="112">
        <f>'Calcul R84'!N142/'Calcul R84'!N144</f>
        <v>0.7344643424949503</v>
      </c>
      <c r="N133" s="112">
        <f>'Calcul R84'!O142/'Calcul R84'!O144</f>
        <v>0.57130881684966206</v>
      </c>
      <c r="O133" s="112">
        <f>'Calcul R84'!P142/'Calcul R84'!P144</f>
        <v>0.55850648029933925</v>
      </c>
      <c r="P133" s="112"/>
      <c r="Q133" s="112"/>
      <c r="R133" s="112"/>
      <c r="S133" s="112"/>
      <c r="T133" s="112"/>
      <c r="U133" s="112"/>
      <c r="V133" s="112">
        <f>'Calcul R84'!W142/'Calcul R84'!W144</f>
        <v>0.60943139176366545</v>
      </c>
      <c r="W133" s="112">
        <f>'Calcul R84'!X142/'Calcul R84'!X144</f>
        <v>0.58041084929872888</v>
      </c>
    </row>
    <row r="134" spans="1:23" x14ac:dyDescent="0.3">
      <c r="A134" s="9" t="s">
        <v>12</v>
      </c>
      <c r="B134" s="112">
        <f>'Calcul R84'!C149/'Calcul R84'!C151</f>
        <v>0.29685185873303949</v>
      </c>
      <c r="C134" s="112">
        <f>'Calcul R84'!D149/'Calcul R84'!D151</f>
        <v>0.28795186260531902</v>
      </c>
      <c r="D134" s="112">
        <f>'Calcul R84'!E149/'Calcul R84'!E151</f>
        <v>0.29541263243063803</v>
      </c>
      <c r="E134" s="112">
        <f>'Calcul R84'!F149/'Calcul R84'!F151</f>
        <v>0.27557490529767104</v>
      </c>
      <c r="F134" s="112">
        <f>'Calcul R84'!G149/'Calcul R84'!G151</f>
        <v>0.2662450179533713</v>
      </c>
      <c r="G134" s="112">
        <f>'Calcul R84'!H149/'Calcul R84'!H151</f>
        <v>0.26098228475393564</v>
      </c>
      <c r="H134" s="112">
        <f>'Calcul R84'!I149/'Calcul R84'!I151</f>
        <v>0.28345734775654169</v>
      </c>
      <c r="I134" s="112">
        <f>'Calcul R84'!J149/'Calcul R84'!J151</f>
        <v>0.29962800937670037</v>
      </c>
      <c r="J134" s="112">
        <f>'Calcul R84'!K149/'Calcul R84'!K151</f>
        <v>0.32512791545785258</v>
      </c>
      <c r="K134" s="112">
        <f>'Calcul R84'!L149/'Calcul R84'!L151</f>
        <v>0.31942663723794396</v>
      </c>
      <c r="L134" s="112">
        <f>'Calcul R84'!M149/'Calcul R84'!M151</f>
        <v>0.31273002439479225</v>
      </c>
      <c r="M134" s="112">
        <f>'Calcul R84'!N149/'Calcul R84'!N151</f>
        <v>0.31076113995977322</v>
      </c>
      <c r="N134" s="112">
        <f>'Calcul R84'!O149/'Calcul R84'!O151</f>
        <v>0.28151855068428283</v>
      </c>
      <c r="O134" s="112">
        <f>'Calcul R84'!P149/'Calcul R84'!P151</f>
        <v>0.23067084629816262</v>
      </c>
      <c r="P134" s="112"/>
      <c r="Q134" s="112"/>
      <c r="R134" s="112"/>
      <c r="S134" s="112"/>
      <c r="T134" s="112"/>
      <c r="U134" s="112"/>
      <c r="V134" s="112">
        <f>'Calcul R84'!W149/'Calcul R84'!W151</f>
        <v>0.28436923346577025</v>
      </c>
      <c r="W134" s="112">
        <f>'Calcul R84'!X149/'Calcul R84'!X151</f>
        <v>0.2708278413959716</v>
      </c>
    </row>
    <row r="135" spans="1:23" x14ac:dyDescent="0.3">
      <c r="A135" s="9" t="s">
        <v>20</v>
      </c>
      <c r="B135" s="112">
        <f>'Calcul R84'!C156/'Calcul R84'!C158</f>
        <v>0.90017052287299448</v>
      </c>
      <c r="C135" s="112">
        <f>'Calcul R84'!D156/'Calcul R84'!D158</f>
        <v>1.0425372300248239</v>
      </c>
      <c r="D135" s="112">
        <f>'Calcul R84'!E156/'Calcul R84'!E158</f>
        <v>1.1118546477798694</v>
      </c>
      <c r="E135" s="112">
        <f>'Calcul R84'!F156/'Calcul R84'!F158</f>
        <v>0.94849636195200537</v>
      </c>
      <c r="F135" s="112">
        <f>'Calcul R84'!G156/'Calcul R84'!G158</f>
        <v>1.0033646794048148</v>
      </c>
      <c r="G135" s="112">
        <f>'Calcul R84'!H156/'Calcul R84'!H158</f>
        <v>1.1214873553121329</v>
      </c>
      <c r="H135" s="112">
        <f>'Calcul R84'!I156/'Calcul R84'!I158</f>
        <v>1.0253679176325612</v>
      </c>
      <c r="I135" s="112">
        <f>'Calcul R84'!J156/'Calcul R84'!J158</f>
        <v>0.87550221455255939</v>
      </c>
      <c r="J135" s="112">
        <f>'Calcul R84'!K156/'Calcul R84'!K158</f>
        <v>1.0213818545881457</v>
      </c>
      <c r="K135" s="112">
        <f>'Calcul R84'!L156/'Calcul R84'!L158</f>
        <v>0.82607247080431556</v>
      </c>
      <c r="L135" s="112">
        <f>'Calcul R84'!M156/'Calcul R84'!M158</f>
        <v>0.88773941711559179</v>
      </c>
      <c r="M135" s="112">
        <f>'Calcul R84'!N156/'Calcul R84'!N158</f>
        <v>0.91063015650542167</v>
      </c>
      <c r="N135" s="112">
        <f>'Calcul R84'!O156/'Calcul R84'!O158</f>
        <v>0.96427416565420687</v>
      </c>
      <c r="O135" s="112">
        <f>'Calcul R84'!P156/'Calcul R84'!P158</f>
        <v>1.0827199969856358</v>
      </c>
      <c r="P135" s="112"/>
      <c r="Q135" s="112"/>
      <c r="R135" s="112"/>
      <c r="S135" s="112"/>
      <c r="T135" s="112"/>
      <c r="U135" s="112"/>
      <c r="V135" s="112">
        <f>'Calcul R84'!W156/'Calcul R84'!W158</f>
        <v>0.94208274576352213</v>
      </c>
      <c r="W135" s="112">
        <f>'Calcul R84'!X156/'Calcul R84'!X158</f>
        <v>0.89722166263192593</v>
      </c>
    </row>
    <row r="136" spans="1:23" x14ac:dyDescent="0.3">
      <c r="A136" s="9" t="s">
        <v>135</v>
      </c>
      <c r="B136" s="112">
        <f>'Calcul R84'!C163/'Calcul R84'!C165</f>
        <v>0.18150828641694591</v>
      </c>
      <c r="C136" s="112">
        <f>'Calcul R84'!D163/'Calcul R84'!D165</f>
        <v>0.19004142267517446</v>
      </c>
      <c r="D136" s="112">
        <f>'Calcul R84'!E163/'Calcul R84'!E165</f>
        <v>0.24320244215165196</v>
      </c>
      <c r="E136" s="112">
        <f>'Calcul R84'!F163/'Calcul R84'!F165</f>
        <v>0.22461808926570653</v>
      </c>
      <c r="F136" s="112">
        <f>'Calcul R84'!G163/'Calcul R84'!G165</f>
        <v>0.19685582772265262</v>
      </c>
      <c r="G136" s="112">
        <f>'Calcul R84'!H163/'Calcul R84'!H165</f>
        <v>0.1784496442855035</v>
      </c>
      <c r="H136" s="112">
        <f>'Calcul R84'!I163/'Calcul R84'!I165</f>
        <v>0.20777829845397222</v>
      </c>
      <c r="I136" s="112">
        <f>'Calcul R84'!J163/'Calcul R84'!J165</f>
        <v>0.16297459796528949</v>
      </c>
      <c r="J136" s="112">
        <f>'Calcul R84'!K163/'Calcul R84'!K165</f>
        <v>0.1712925037297115</v>
      </c>
      <c r="K136" s="112">
        <f>'Calcul R84'!L163/'Calcul R84'!L165</f>
        <v>0.17513664254098629</v>
      </c>
      <c r="L136" s="112">
        <f>'Calcul R84'!M163/'Calcul R84'!M165</f>
        <v>0.18008826091681021</v>
      </c>
      <c r="M136" s="112">
        <f>'Calcul R84'!N163/'Calcul R84'!N165</f>
        <v>0.16314251777900812</v>
      </c>
      <c r="N136" s="112">
        <f>'Calcul R84'!O163/'Calcul R84'!O165</f>
        <v>0.18535242354359283</v>
      </c>
      <c r="O136" s="112">
        <f>'Calcul R84'!P163/'Calcul R84'!P165</f>
        <v>0.183937700978831</v>
      </c>
      <c r="P136" s="112"/>
      <c r="Q136" s="112"/>
      <c r="R136" s="112"/>
      <c r="S136" s="112"/>
      <c r="T136" s="112"/>
      <c r="U136" s="112"/>
      <c r="V136" s="112">
        <f>'Calcul R84'!W163/'Calcul R84'!W165</f>
        <v>0.16451640226549308</v>
      </c>
      <c r="W136" s="112">
        <f>'Calcul R84'!X163/'Calcul R84'!X165</f>
        <v>0.15668228787189814</v>
      </c>
    </row>
    <row r="137" spans="1:23" x14ac:dyDescent="0.3">
      <c r="A137" s="9" t="s">
        <v>24</v>
      </c>
      <c r="B137" s="112">
        <f>'Calcul R84'!C171/'Calcul R84'!C173</f>
        <v>6.1605978767402085</v>
      </c>
      <c r="C137" s="112">
        <f>'Calcul R84'!D171/'Calcul R84'!D173</f>
        <v>6.6620895591761755</v>
      </c>
      <c r="D137" s="112">
        <f>'Calcul R84'!E171/'Calcul R84'!E173</f>
        <v>6.1659701723900717</v>
      </c>
      <c r="E137" s="112">
        <f>'Calcul R84'!F171/'Calcul R84'!F173</f>
        <v>5.6839469088475703</v>
      </c>
      <c r="F137" s="112">
        <f>'Calcul R84'!G171/'Calcul R84'!G173</f>
        <v>6.7356032796419889</v>
      </c>
      <c r="G137" s="112">
        <f>'Calcul R84'!H171/'Calcul R84'!H173</f>
        <v>6.167548961084611</v>
      </c>
      <c r="H137" s="112">
        <f>'Calcul R84'!I171/'Calcul R84'!I173</f>
        <v>4.6032074056644205</v>
      </c>
      <c r="I137" s="112">
        <f>'Calcul R84'!J171/'Calcul R84'!J173</f>
        <v>5.9507278672563784</v>
      </c>
      <c r="J137" s="112">
        <f>'Calcul R84'!K171/'Calcul R84'!K173</f>
        <v>3.8088227611930869</v>
      </c>
      <c r="K137" s="112">
        <f>'Calcul R84'!L171/'Calcul R84'!L173</f>
        <v>3.979260423901505</v>
      </c>
      <c r="L137" s="112">
        <f>'Calcul R84'!M171/'Calcul R84'!M173</f>
        <v>3.108104954916826</v>
      </c>
      <c r="M137" s="112">
        <f>'Calcul R84'!N171/'Calcul R84'!N173</f>
        <v>2.0850395409672924</v>
      </c>
      <c r="N137" s="112">
        <f>'Calcul R84'!O171/'Calcul R84'!O173</f>
        <v>4.0653967456166606</v>
      </c>
      <c r="O137" s="112">
        <f>'Calcul R84'!P171/'Calcul R84'!P173</f>
        <v>4.238003900117679</v>
      </c>
      <c r="P137" s="112"/>
      <c r="Q137" s="112"/>
      <c r="R137" s="112"/>
      <c r="S137" s="112"/>
      <c r="T137" s="112"/>
      <c r="U137" s="112"/>
      <c r="V137" s="112">
        <f>'Calcul R84'!W171/'Calcul R84'!W173</f>
        <v>3.2552238939745215</v>
      </c>
      <c r="W137" s="112">
        <f>'Calcul R84'!X171/'Calcul R84'!X173</f>
        <v>3.1002132323566864</v>
      </c>
    </row>
    <row r="138" spans="1:23" x14ac:dyDescent="0.3">
      <c r="A138" s="9" t="s">
        <v>8</v>
      </c>
      <c r="B138" s="112">
        <f>'Calcul R84'!C178/'Calcul R84'!C180</f>
        <v>1.2904630314172962</v>
      </c>
      <c r="C138" s="112">
        <f>'Calcul R84'!D178/'Calcul R84'!D180</f>
        <v>1.4591437231305102</v>
      </c>
      <c r="D138" s="112">
        <f>'Calcul R84'!E178/'Calcul R84'!E180</f>
        <v>1.4020238157165781</v>
      </c>
      <c r="E138" s="112">
        <f>'Calcul R84'!F178/'Calcul R84'!F180</f>
        <v>1.3732904814635234</v>
      </c>
      <c r="F138" s="112">
        <f>'Calcul R84'!G178/'Calcul R84'!G180</f>
        <v>1.455820163391581</v>
      </c>
      <c r="G138" s="112">
        <f>'Calcul R84'!H178/'Calcul R84'!H180</f>
        <v>1.4247667723415112</v>
      </c>
      <c r="H138" s="112">
        <f>'Calcul R84'!I178/'Calcul R84'!I180</f>
        <v>1.2755591242974356</v>
      </c>
      <c r="I138" s="112">
        <f>'Calcul R84'!J178/'Calcul R84'!J180</f>
        <v>1.3721897173954201</v>
      </c>
      <c r="J138" s="112">
        <f>'Calcul R84'!K178/'Calcul R84'!K180</f>
        <v>1.4144105071413384</v>
      </c>
      <c r="K138" s="112">
        <f>'Calcul R84'!L178/'Calcul R84'!L180</f>
        <v>1.2891144858199106</v>
      </c>
      <c r="L138" s="112">
        <f>'Calcul R84'!M178/'Calcul R84'!M180</f>
        <v>1.2771932743234888</v>
      </c>
      <c r="M138" s="112">
        <f>'Calcul R84'!N178/'Calcul R84'!N180</f>
        <v>0.55796618254137176</v>
      </c>
      <c r="N138" s="112">
        <f>'Calcul R84'!O178/'Calcul R84'!O180</f>
        <v>1.2435437766890629</v>
      </c>
      <c r="O138" s="112">
        <f>'Calcul R84'!P178/'Calcul R84'!P180</f>
        <v>1.0657224092406083</v>
      </c>
      <c r="P138" s="112"/>
      <c r="Q138" s="112"/>
      <c r="R138" s="112"/>
      <c r="S138" s="112"/>
      <c r="T138" s="112"/>
      <c r="U138" s="112"/>
      <c r="V138" s="112">
        <f>'Calcul R84'!W178/'Calcul R84'!W180</f>
        <v>0.95291208893350432</v>
      </c>
      <c r="W138" s="112">
        <f>'Calcul R84'!X178/'Calcul R84'!X180</f>
        <v>0.90753532279381377</v>
      </c>
    </row>
    <row r="139" spans="1:23" x14ac:dyDescent="0.3">
      <c r="A139" s="9" t="s">
        <v>7</v>
      </c>
      <c r="B139" s="112">
        <f>'Calcul R84'!C185/'Calcul R84'!C187</f>
        <v>0.71861469119454591</v>
      </c>
      <c r="C139" s="112">
        <f>'Calcul R84'!D185/'Calcul R84'!D187</f>
        <v>0.75225202728644247</v>
      </c>
      <c r="D139" s="112">
        <f>'Calcul R84'!E185/'Calcul R84'!E187</f>
        <v>0.6128769591270683</v>
      </c>
      <c r="E139" s="112">
        <f>'Calcul R84'!F185/'Calcul R84'!F187</f>
        <v>0.61871222898452638</v>
      </c>
      <c r="F139" s="112">
        <f>'Calcul R84'!G185/'Calcul R84'!G187</f>
        <v>0.7215203060581673</v>
      </c>
      <c r="G139" s="112">
        <f>'Calcul R84'!H185/'Calcul R84'!H187</f>
        <v>0.63942801300846752</v>
      </c>
      <c r="H139" s="112">
        <f>'Calcul R84'!I185/'Calcul R84'!I187</f>
        <v>0.5374413880540162</v>
      </c>
      <c r="I139" s="112">
        <f>'Calcul R84'!J185/'Calcul R84'!J187</f>
        <v>0.51028118946105183</v>
      </c>
      <c r="J139" s="112">
        <f>'Calcul R84'!K185/'Calcul R84'!K187</f>
        <v>0.55326228492274765</v>
      </c>
      <c r="K139" s="112">
        <f>'Calcul R84'!L185/'Calcul R84'!L187</f>
        <v>0.58680839157023468</v>
      </c>
      <c r="L139" s="112">
        <f>'Calcul R84'!M185/'Calcul R84'!M187</f>
        <v>0.54951725235708004</v>
      </c>
      <c r="M139" s="112">
        <f>'Calcul R84'!N185/'Calcul R84'!N187</f>
        <v>0.39519894381775816</v>
      </c>
      <c r="N139" s="112">
        <f>'Calcul R84'!O185/'Calcul R84'!O187</f>
        <v>0.53948696999281509</v>
      </c>
      <c r="O139" s="112">
        <f>'Calcul R84'!P185/'Calcul R84'!P187</f>
        <v>0.56216974301283151</v>
      </c>
      <c r="P139" s="112"/>
      <c r="Q139" s="112"/>
      <c r="R139" s="112"/>
      <c r="S139" s="112"/>
      <c r="T139" s="112"/>
      <c r="U139" s="112"/>
      <c r="V139" s="112">
        <f>'Calcul R84'!W185/'Calcul R84'!W187</f>
        <v>0.45921079112443108</v>
      </c>
      <c r="W139" s="112">
        <f>'Calcul R84'!X185/'Calcul R84'!X187</f>
        <v>0.43734361059469623</v>
      </c>
    </row>
    <row r="140" spans="1:23" x14ac:dyDescent="0.3">
      <c r="A140" s="9" t="s">
        <v>9</v>
      </c>
      <c r="B140" s="112">
        <f>'Calcul R84'!C192/'Calcul R84'!C194</f>
        <v>0.61561029817096846</v>
      </c>
      <c r="C140" s="112">
        <f>'Calcul R84'!D192/'Calcul R84'!D194</f>
        <v>0.89083191882258672</v>
      </c>
      <c r="D140" s="112">
        <f>'Calcul R84'!E192/'Calcul R84'!E194</f>
        <v>0.67781589068578052</v>
      </c>
      <c r="E140" s="112">
        <f>'Calcul R84'!F192/'Calcul R84'!F194</f>
        <v>0.70726028993378609</v>
      </c>
      <c r="F140" s="112">
        <f>'Calcul R84'!G192/'Calcul R84'!G194</f>
        <v>0.77807950237008217</v>
      </c>
      <c r="G140" s="112">
        <f>'Calcul R84'!H192/'Calcul R84'!H194</f>
        <v>0.79098950868492746</v>
      </c>
      <c r="H140" s="112">
        <f>'Calcul R84'!I192/'Calcul R84'!I194</f>
        <v>0.84588246415448987</v>
      </c>
      <c r="I140" s="112">
        <f>'Calcul R84'!J192/'Calcul R84'!J194</f>
        <v>0.80451948000090223</v>
      </c>
      <c r="J140" s="112">
        <f>'Calcul R84'!K192/'Calcul R84'!K194</f>
        <v>0.98482100053438404</v>
      </c>
      <c r="K140" s="112">
        <f>'Calcul R84'!L192/'Calcul R84'!L194</f>
        <v>0.73127715856689457</v>
      </c>
      <c r="L140" s="112">
        <f>'Calcul R84'!M192/'Calcul R84'!M194</f>
        <v>0.91812621984734855</v>
      </c>
      <c r="M140" s="112">
        <f>'Calcul R84'!N192/'Calcul R84'!N194</f>
        <v>0.41253359932018685</v>
      </c>
      <c r="N140" s="112">
        <f>'Calcul R84'!O192/'Calcul R84'!O194</f>
        <v>0.83476008318257777</v>
      </c>
      <c r="O140" s="112">
        <f>'Calcul R84'!P192/'Calcul R84'!P194</f>
        <v>0.77111690587001946</v>
      </c>
      <c r="P140" s="112"/>
      <c r="Q140" s="112"/>
      <c r="R140" s="112"/>
      <c r="S140" s="112"/>
      <c r="T140" s="112"/>
      <c r="U140" s="112"/>
      <c r="V140" s="112">
        <f>'Calcul R84'!W192/'Calcul R84'!W194</f>
        <v>0.57740385764478108</v>
      </c>
      <c r="W140" s="112">
        <f>'Calcul R84'!X192/'Calcul R84'!X194</f>
        <v>0.54990843585217242</v>
      </c>
    </row>
    <row r="141" spans="1:23" x14ac:dyDescent="0.3">
      <c r="A141" s="9" t="s">
        <v>108</v>
      </c>
      <c r="B141" s="112">
        <f>'Calcul R84'!C197/'Calcul R84'!C199</f>
        <v>0.76642464055173831</v>
      </c>
      <c r="C141" s="112">
        <f>'Calcul R84'!D197/'Calcul R84'!D199</f>
        <v>0.81715379630524343</v>
      </c>
      <c r="D141" s="112">
        <f>'Calcul R84'!E197/'Calcul R84'!E199</f>
        <v>0.74719388495575056</v>
      </c>
      <c r="E141" s="112">
        <f>'Calcul R84'!F197/'Calcul R84'!F199</f>
        <v>0.74347717529047341</v>
      </c>
      <c r="F141" s="112">
        <f>'Calcul R84'!G197/'Calcul R84'!G199</f>
        <v>0.74258640436807</v>
      </c>
      <c r="G141" s="112">
        <f>'Calcul R84'!H197/'Calcul R84'!H199</f>
        <v>0.7865400981969729</v>
      </c>
      <c r="H141" s="112">
        <f>'Calcul R84'!I197/'Calcul R84'!I199</f>
        <v>0.80516721156319571</v>
      </c>
      <c r="I141" s="112">
        <f>'Calcul R84'!J197/'Calcul R84'!J199</f>
        <v>0.81327799482016228</v>
      </c>
      <c r="J141" s="112">
        <f>'Calcul R84'!K197/'Calcul R84'!K199</f>
        <v>0.78675737417822156</v>
      </c>
      <c r="K141" s="112">
        <f>'Calcul R84'!L197/'Calcul R84'!L199</f>
        <v>0.76913293311319886</v>
      </c>
      <c r="L141" s="112">
        <f>'Calcul R84'!M197/'Calcul R84'!M199</f>
        <v>0.7777254142117983</v>
      </c>
      <c r="M141" s="112">
        <f>'Calcul R84'!N197/'Calcul R84'!N199</f>
        <v>0.7544271029174171</v>
      </c>
      <c r="N141" s="112">
        <f>'Calcul R84'!O197/'Calcul R84'!O199</f>
        <v>0.74145005567854361</v>
      </c>
      <c r="O141" s="112">
        <f>'Calcul R84'!P197/'Calcul R84'!P199</f>
        <v>0.71351571247857415</v>
      </c>
      <c r="P141" s="112"/>
      <c r="Q141" s="112"/>
      <c r="R141" s="112"/>
      <c r="S141" s="112"/>
      <c r="T141" s="112"/>
      <c r="U141" s="112"/>
      <c r="V141" s="112">
        <f>'Calcul R84'!W197/'Calcul R84'!W199</f>
        <v>0.69080881474222611</v>
      </c>
      <c r="W141" s="112">
        <f>'Calcul R84'!X197/'Calcul R84'!X199</f>
        <v>0.7675653497135847</v>
      </c>
    </row>
    <row r="142" spans="1:23" x14ac:dyDescent="0.3">
      <c r="A142" s="9" t="s">
        <v>109</v>
      </c>
      <c r="B142" s="112">
        <f>'Calcul R84'!C202/'Calcul R84'!C204</f>
        <v>0.39238712901456074</v>
      </c>
      <c r="C142" s="112">
        <f>'Calcul R84'!D202/'Calcul R84'!D204</f>
        <v>0.36696773397172311</v>
      </c>
      <c r="D142" s="112">
        <f>'Calcul R84'!E202/'Calcul R84'!E204</f>
        <v>0.35956958205850265</v>
      </c>
      <c r="E142" s="112">
        <f>'Calcul R84'!F202/'Calcul R84'!F204</f>
        <v>0.35018265752267141</v>
      </c>
      <c r="F142" s="112">
        <f>'Calcul R84'!G202/'Calcul R84'!G204</f>
        <v>0.33539107840576388</v>
      </c>
      <c r="G142" s="112">
        <f>'Calcul R84'!H202/'Calcul R84'!H204</f>
        <v>0.33074993733875507</v>
      </c>
      <c r="H142" s="112">
        <f>'Calcul R84'!I202/'Calcul R84'!I204</f>
        <v>0.33315992697178082</v>
      </c>
      <c r="I142" s="112">
        <f>'Calcul R84'!J202/'Calcul R84'!J204</f>
        <v>0.32756137565295218</v>
      </c>
      <c r="J142" s="112">
        <f>'Calcul R84'!K202/'Calcul R84'!K204</f>
        <v>0.31895017521953367</v>
      </c>
      <c r="K142" s="112">
        <f>'Calcul R84'!L202/'Calcul R84'!L204</f>
        <v>0.32572051006012487</v>
      </c>
      <c r="L142" s="112">
        <f>'Calcul R84'!M202/'Calcul R84'!M204</f>
        <v>0.3253189766389033</v>
      </c>
      <c r="M142" s="112">
        <f>'Calcul R84'!N202/'Calcul R84'!N204</f>
        <v>0.33374175065278416</v>
      </c>
      <c r="N142" s="112">
        <f>'Calcul R84'!O202/'Calcul R84'!O204</f>
        <v>0.32622393517517145</v>
      </c>
      <c r="O142" s="112">
        <f>'Calcul R84'!P202/'Calcul R84'!P204</f>
        <v>0.33787923284156007</v>
      </c>
      <c r="P142" s="112"/>
      <c r="Q142" s="112"/>
      <c r="R142" s="112"/>
      <c r="S142" s="112"/>
      <c r="T142" s="112"/>
      <c r="U142" s="112"/>
      <c r="V142" s="112">
        <f>'Calcul R84'!W202/'Calcul R84'!W204</f>
        <v>0.3229403188412725</v>
      </c>
      <c r="W142" s="112">
        <f>'Calcul R84'!X202/'Calcul R84'!X204</f>
        <v>0.3399371777276553</v>
      </c>
    </row>
    <row r="143" spans="1:23" x14ac:dyDescent="0.3">
      <c r="A143" s="9" t="s">
        <v>110</v>
      </c>
      <c r="B143" s="112">
        <f>'Calcul R84'!C207/'Calcul R84'!C209</f>
        <v>0.64039220643746908</v>
      </c>
      <c r="C143" s="112">
        <f>'Calcul R84'!D207/'Calcul R84'!D209</f>
        <v>0.65040641040620539</v>
      </c>
      <c r="D143" s="112">
        <f>'Calcul R84'!E207/'Calcul R84'!E209</f>
        <v>0.61163092650192974</v>
      </c>
      <c r="E143" s="112">
        <f>'Calcul R84'!F207/'Calcul R84'!F209</f>
        <v>0.60297845968453001</v>
      </c>
      <c r="F143" s="112">
        <f>'Calcul R84'!G207/'Calcul R84'!G209</f>
        <v>0.59793193113724863</v>
      </c>
      <c r="G143" s="112">
        <f>'Calcul R84'!H207/'Calcul R84'!H209</f>
        <v>0.5765280072454686</v>
      </c>
      <c r="H143" s="112">
        <f>'Calcul R84'!I207/'Calcul R84'!I209</f>
        <v>0.56903835650557377</v>
      </c>
      <c r="I143" s="112">
        <f>'Calcul R84'!J207/'Calcul R84'!J209</f>
        <v>0.55040482748701047</v>
      </c>
      <c r="J143" s="112">
        <f>'Calcul R84'!K207/'Calcul R84'!K209</f>
        <v>0.5117383713608924</v>
      </c>
      <c r="K143" s="112">
        <f>'Calcul R84'!L207/'Calcul R84'!L209</f>
        <v>0.48970450241441515</v>
      </c>
      <c r="L143" s="112">
        <f>'Calcul R84'!M207/'Calcul R84'!M209</f>
        <v>0.50010958110407944</v>
      </c>
      <c r="M143" s="112">
        <f>'Calcul R84'!N207/'Calcul R84'!N209</f>
        <v>0.5075480751577085</v>
      </c>
      <c r="N143" s="112">
        <f>'Calcul R84'!O207/'Calcul R84'!O209</f>
        <v>0.44540132805214283</v>
      </c>
      <c r="O143" s="112">
        <f>'Calcul R84'!P207/'Calcul R84'!P209</f>
        <v>0.42926114353746814</v>
      </c>
      <c r="P143" s="112"/>
      <c r="Q143" s="112"/>
      <c r="R143" s="112"/>
      <c r="S143" s="112"/>
      <c r="T143" s="112"/>
      <c r="U143" s="112"/>
      <c r="V143" s="112">
        <f>'Calcul R84'!W207/'Calcul R84'!W209</f>
        <v>0.43242719540551705</v>
      </c>
      <c r="W143" s="112">
        <f>'Calcul R84'!X207/'Calcul R84'!X209</f>
        <v>0.45518652147949168</v>
      </c>
    </row>
    <row r="144" spans="1:23" x14ac:dyDescent="0.3">
      <c r="A144" s="9" t="s">
        <v>111</v>
      </c>
      <c r="B144" s="112">
        <f>'Calcul R84'!C212/'Calcul R84'!C214</f>
        <v>0.74021709565601101</v>
      </c>
      <c r="C144" s="112">
        <f>'Calcul R84'!D212/'Calcul R84'!D214</f>
        <v>0.77192438369584415</v>
      </c>
      <c r="D144" s="112">
        <f>'Calcul R84'!E212/'Calcul R84'!E214</f>
        <v>0.78347324028380139</v>
      </c>
      <c r="E144" s="112">
        <f>'Calcul R84'!F212/'Calcul R84'!F214</f>
        <v>0.77782104097997906</v>
      </c>
      <c r="F144" s="112">
        <f>'Calcul R84'!G212/'Calcul R84'!G214</f>
        <v>0.75363426361633923</v>
      </c>
      <c r="G144" s="112">
        <f>'Calcul R84'!H212/'Calcul R84'!H214</f>
        <v>0.79296162524943559</v>
      </c>
      <c r="H144" s="112">
        <f>'Calcul R84'!I212/'Calcul R84'!I214</f>
        <v>0.79980240238146771</v>
      </c>
      <c r="I144" s="112">
        <f>'Calcul R84'!J212/'Calcul R84'!J214</f>
        <v>0.75121012719144942</v>
      </c>
      <c r="J144" s="112">
        <f>'Calcul R84'!K212/'Calcul R84'!K214</f>
        <v>0.7405128977458012</v>
      </c>
      <c r="K144" s="112">
        <f>'Calcul R84'!L212/'Calcul R84'!L214</f>
        <v>0.70511564433684415</v>
      </c>
      <c r="L144" s="112">
        <f>'Calcul R84'!M212/'Calcul R84'!M214</f>
        <v>0.75507646572720311</v>
      </c>
      <c r="M144" s="112">
        <f>'Calcul R84'!N212/'Calcul R84'!N214</f>
        <v>0.73263021033769349</v>
      </c>
      <c r="N144" s="112">
        <f>'Calcul R84'!O212/'Calcul R84'!O214</f>
        <v>0.70803373697999505</v>
      </c>
      <c r="O144" s="112">
        <f>'Calcul R84'!P212/'Calcul R84'!P214</f>
        <v>0.61161859065443458</v>
      </c>
      <c r="P144" s="112"/>
      <c r="Q144" s="112"/>
      <c r="R144" s="112"/>
      <c r="S144" s="112"/>
      <c r="T144" s="112"/>
      <c r="U144" s="112"/>
      <c r="V144" s="112">
        <f>'Calcul R84'!W212/'Calcul R84'!W214</f>
        <v>0.65256100767226755</v>
      </c>
      <c r="W144" s="112">
        <f>'Calcul R84'!X212/'Calcul R84'!X214</f>
        <v>0.72506778630251945</v>
      </c>
    </row>
    <row r="145" spans="1:23" x14ac:dyDescent="0.3">
      <c r="A145" s="9" t="s">
        <v>44</v>
      </c>
      <c r="B145" s="112">
        <f>'Calcul R84'!C219/'Calcul R84'!C221</f>
        <v>0.84726377636153272</v>
      </c>
      <c r="C145" s="112">
        <f>'Calcul R84'!D219/'Calcul R84'!D221</f>
        <v>0.91044086277656522</v>
      </c>
      <c r="D145" s="112">
        <f>'Calcul R84'!E219/'Calcul R84'!E221</f>
        <v>0.95072486198898098</v>
      </c>
      <c r="E145" s="112">
        <f>'Calcul R84'!F219/'Calcul R84'!F221</f>
        <v>0.90129484279282823</v>
      </c>
      <c r="F145" s="112">
        <f>'Calcul R84'!G219/'Calcul R84'!G221</f>
        <v>0.90900280694941937</v>
      </c>
      <c r="G145" s="112">
        <f>'Calcul R84'!H219/'Calcul R84'!H221</f>
        <v>0.89764027892605647</v>
      </c>
      <c r="H145" s="112">
        <f>'Calcul R84'!I219/'Calcul R84'!I221</f>
        <v>0.90397027193248292</v>
      </c>
      <c r="I145" s="112">
        <f>'Calcul R84'!J219/'Calcul R84'!J221</f>
        <v>0.83806495754866517</v>
      </c>
      <c r="J145" s="112">
        <f>'Calcul R84'!K219/'Calcul R84'!K221</f>
        <v>0.78748618844835805</v>
      </c>
      <c r="K145" s="112">
        <f>'Calcul R84'!L219/'Calcul R84'!L221</f>
        <v>0.76618159478702785</v>
      </c>
      <c r="L145" s="112">
        <f>'Calcul R84'!M219/'Calcul R84'!M221</f>
        <v>0.67998615231374027</v>
      </c>
      <c r="M145" s="112">
        <f>'Calcul R84'!N219/'Calcul R84'!N221</f>
        <v>0.69629589553405902</v>
      </c>
      <c r="N145" s="112">
        <f>'Calcul R84'!O219/'Calcul R84'!O221</f>
        <v>0.6676121913436367</v>
      </c>
      <c r="O145" s="112">
        <f>'Calcul R84'!P219/'Calcul R84'!P221</f>
        <v>0.63870805008544451</v>
      </c>
      <c r="P145" s="112"/>
      <c r="Q145" s="112"/>
      <c r="R145" s="112"/>
      <c r="S145" s="112"/>
      <c r="T145" s="112"/>
      <c r="U145" s="112"/>
      <c r="V145" s="112">
        <f>'Calcul R84'!W219/'Calcul R84'!W221</f>
        <v>0.61867718317040721</v>
      </c>
      <c r="W145" s="112">
        <f>'Calcul R84'!X219/'Calcul R84'!X221</f>
        <v>0.6313032481330686</v>
      </c>
    </row>
    <row r="146" spans="1:23" x14ac:dyDescent="0.3">
      <c r="A146" s="9" t="s">
        <v>112</v>
      </c>
      <c r="B146" s="112">
        <f>'Calcul R84'!C224/'Calcul R84'!C226</f>
        <v>1.0099283385875435</v>
      </c>
      <c r="C146" s="112">
        <f>'Calcul R84'!D224/'Calcul R84'!D226</f>
        <v>1.0170963912013415</v>
      </c>
      <c r="D146" s="112">
        <f>'Calcul R84'!E224/'Calcul R84'!E226</f>
        <v>1.0200216098546346</v>
      </c>
      <c r="E146" s="112">
        <f>'Calcul R84'!F224/'Calcul R84'!F226</f>
        <v>0.99735561406262319</v>
      </c>
      <c r="F146" s="112">
        <f>'Calcul R84'!G224/'Calcul R84'!G226</f>
        <v>1.016240285309894</v>
      </c>
      <c r="G146" s="112">
        <f>'Calcul R84'!H224/'Calcul R84'!H226</f>
        <v>1.0226717935212231</v>
      </c>
      <c r="H146" s="112">
        <f>'Calcul R84'!I224/'Calcul R84'!I226</f>
        <v>1.0124030799975996</v>
      </c>
      <c r="I146" s="112">
        <f>'Calcul R84'!J224/'Calcul R84'!J226</f>
        <v>1.0062329304590967</v>
      </c>
      <c r="J146" s="112">
        <f>'Calcul R84'!K224/'Calcul R84'!K226</f>
        <v>1.0086411241440352</v>
      </c>
      <c r="K146" s="112">
        <f>'Calcul R84'!L224/'Calcul R84'!L226</f>
        <v>0.93173691182527008</v>
      </c>
      <c r="L146" s="112">
        <f>'Calcul R84'!M224/'Calcul R84'!M226</f>
        <v>0.97172767846281771</v>
      </c>
      <c r="M146" s="112">
        <f>'Calcul R84'!N224/'Calcul R84'!N226</f>
        <v>0.91456537147458272</v>
      </c>
      <c r="N146" s="112">
        <f>'Calcul R84'!O224/'Calcul R84'!O226</f>
        <v>0.91253957171108002</v>
      </c>
      <c r="O146" s="112">
        <f>'Calcul R84'!P224/'Calcul R84'!P226</f>
        <v>0.87335018698127664</v>
      </c>
      <c r="P146" s="112"/>
      <c r="Q146" s="112"/>
      <c r="R146" s="112"/>
      <c r="S146" s="112"/>
      <c r="T146" s="112"/>
      <c r="U146" s="112"/>
      <c r="V146" s="112">
        <f>'Calcul R84'!W224/'Calcul R84'!W226</f>
        <v>0.81660551957105409</v>
      </c>
      <c r="W146" s="112">
        <f>'Calcul R84'!X224/'Calcul R84'!X226</f>
        <v>0.90733946619006012</v>
      </c>
    </row>
    <row r="147" spans="1:23" x14ac:dyDescent="0.3">
      <c r="A147" s="533" t="s">
        <v>56</v>
      </c>
      <c r="B147" s="535">
        <f>'Calcul R84'!C230/'Calcul R84'!C232</f>
        <v>0.80412003707120316</v>
      </c>
      <c r="C147" s="535">
        <f>'Calcul R84'!D230/'Calcul R84'!D232</f>
        <v>0.6981005901006847</v>
      </c>
      <c r="D147" s="535">
        <f>'Calcul R84'!E230/'Calcul R84'!E232</f>
        <v>0.79639806871569874</v>
      </c>
      <c r="E147" s="535">
        <f>'Calcul R84'!F230/'Calcul R84'!F232</f>
        <v>0.77219467522139396</v>
      </c>
      <c r="F147" s="535">
        <f>'Calcul R84'!G230/'Calcul R84'!G232</f>
        <v>0.70768243673613029</v>
      </c>
      <c r="G147" s="535">
        <f>'Calcul R84'!H230/'Calcul R84'!H232</f>
        <v>0.72622840263690558</v>
      </c>
      <c r="H147" s="535">
        <f>'Calcul R84'!I230/'Calcul R84'!I232</f>
        <v>0.73938320365306676</v>
      </c>
      <c r="I147" s="535">
        <f>'Calcul R84'!J230/'Calcul R84'!J232</f>
        <v>0.72965882334067167</v>
      </c>
      <c r="J147" s="535">
        <f>'Calcul R84'!K230/'Calcul R84'!K232</f>
        <v>0.64906305289461919</v>
      </c>
      <c r="K147" s="535">
        <f>'Calcul R84'!L230/'Calcul R84'!L232</f>
        <v>0.62598795035084265</v>
      </c>
      <c r="L147" s="535">
        <f>'Calcul R84'!M230/'Calcul R84'!M232</f>
        <v>0.55400012725045045</v>
      </c>
      <c r="M147" s="535">
        <f>'Calcul R84'!N230/'Calcul R84'!N232</f>
        <v>0.70538633319563959</v>
      </c>
      <c r="N147" s="535">
        <f>'Calcul R84'!O230/'Calcul R84'!O232</f>
        <v>0.56240760510996624</v>
      </c>
      <c r="O147" s="535">
        <f>'Calcul R84'!P230/'Calcul R84'!P232</f>
        <v>0.65798684195089185</v>
      </c>
      <c r="P147" s="535"/>
      <c r="Q147" s="535"/>
      <c r="R147" s="535"/>
      <c r="S147" s="535"/>
      <c r="T147" s="535"/>
      <c r="U147" s="535"/>
      <c r="V147" s="535">
        <f>'Calcul R84'!W230/'Calcul R84'!W232</f>
        <v>0.60264895880696046</v>
      </c>
      <c r="W147" s="535">
        <f>'Calcul R84'!X230/'Calcul R84'!X232</f>
        <v>0.57395138933996226</v>
      </c>
    </row>
    <row r="148" spans="1:23" x14ac:dyDescent="0.3">
      <c r="A148" s="533" t="s">
        <v>603</v>
      </c>
      <c r="B148" s="535">
        <f>'Calcul R84'!C235/'Calcul R84'!C237</f>
        <v>0.3912972660939536</v>
      </c>
      <c r="C148" s="535">
        <f>'Calcul R84'!D235/'Calcul R84'!D237</f>
        <v>0.52351705185552455</v>
      </c>
      <c r="D148" s="535">
        <f>'Calcul R84'!E235/'Calcul R84'!E237</f>
        <v>0.37729388671402991</v>
      </c>
      <c r="E148" s="535">
        <f>'Calcul R84'!F235/'Calcul R84'!F237</f>
        <v>0.31250477567867535</v>
      </c>
      <c r="F148" s="535">
        <f>'Calcul R84'!G235/'Calcul R84'!G237</f>
        <v>0.46526583107371777</v>
      </c>
      <c r="G148" s="535">
        <f>'Calcul R84'!H235/'Calcul R84'!H237</f>
        <v>0.37755182832886347</v>
      </c>
      <c r="H148" s="535">
        <f>'Calcul R84'!I235/'Calcul R84'!I237</f>
        <v>0.39615408760255427</v>
      </c>
      <c r="I148" s="535">
        <f>'Calcul R84'!J235/'Calcul R84'!J237</f>
        <v>0.45399517204408646</v>
      </c>
      <c r="J148" s="535">
        <f>'Calcul R84'!K235/'Calcul R84'!K237</f>
        <v>0.4594585951120444</v>
      </c>
      <c r="K148" s="535">
        <f>'Calcul R84'!L235/'Calcul R84'!L237</f>
        <v>0.40755104676252313</v>
      </c>
      <c r="L148" s="535">
        <f>'Calcul R84'!M235/'Calcul R84'!M237</f>
        <v>0.39621477229805996</v>
      </c>
      <c r="M148" s="535">
        <f>'Calcul R84'!N235/'Calcul R84'!N237</f>
        <v>0.46745614660428469</v>
      </c>
      <c r="N148" s="535">
        <f>'Calcul R84'!O235/'Calcul R84'!O237</f>
        <v>0.52735863814947881</v>
      </c>
      <c r="O148" s="535">
        <f>'Calcul R84'!P235/'Calcul R84'!P237</f>
        <v>0.56396505593231983</v>
      </c>
      <c r="P148" s="535"/>
      <c r="Q148" s="535"/>
      <c r="R148" s="535"/>
      <c r="S148" s="535"/>
      <c r="T148" s="535"/>
      <c r="U148" s="535"/>
      <c r="V148" s="535">
        <f>'Calcul R84'!W235/'Calcul R84'!W237</f>
        <v>0.48688450213869844</v>
      </c>
      <c r="W148" s="535">
        <f>'Calcul R84'!X235/'Calcul R84'!X237</f>
        <v>0.48688450213869844</v>
      </c>
    </row>
    <row r="149" spans="1:23" x14ac:dyDescent="0.3">
      <c r="A149" s="534" t="s">
        <v>113</v>
      </c>
      <c r="B149" s="535">
        <f t="shared" ref="B149:O149" si="2">B129</f>
        <v>1.0649180126348916</v>
      </c>
      <c r="C149" s="535">
        <f t="shared" si="2"/>
        <v>0.74536281299995644</v>
      </c>
      <c r="D149" s="535">
        <f t="shared" si="2"/>
        <v>0.55120449432638718</v>
      </c>
      <c r="E149" s="535">
        <f t="shared" si="2"/>
        <v>0.44625793688360577</v>
      </c>
      <c r="F149" s="535">
        <f t="shared" si="2"/>
        <v>0.51155445577644809</v>
      </c>
      <c r="G149" s="535">
        <f t="shared" si="2"/>
        <v>0.84916442195847119</v>
      </c>
      <c r="H149" s="535">
        <f t="shared" si="2"/>
        <v>0.7568752537522806</v>
      </c>
      <c r="I149" s="535">
        <f t="shared" si="2"/>
        <v>0.75968334376305913</v>
      </c>
      <c r="J149" s="535">
        <f t="shared" si="2"/>
        <v>0.52165999360663295</v>
      </c>
      <c r="K149" s="535">
        <f t="shared" si="2"/>
        <v>0.47672830561460305</v>
      </c>
      <c r="L149" s="535">
        <f t="shared" si="2"/>
        <v>0.42680349747312085</v>
      </c>
      <c r="M149" s="535">
        <f t="shared" si="2"/>
        <v>0.45419562115281992</v>
      </c>
      <c r="N149" s="535">
        <f t="shared" si="2"/>
        <v>0.29282726207629728</v>
      </c>
      <c r="O149" s="535">
        <f t="shared" si="2"/>
        <v>0.32490446929555195</v>
      </c>
      <c r="P149" s="535"/>
      <c r="Q149" s="535"/>
      <c r="R149" s="535"/>
      <c r="S149" s="535"/>
      <c r="T149" s="535"/>
      <c r="U149" s="535"/>
      <c r="V149" s="535">
        <f>V129</f>
        <v>0.28525952772163288</v>
      </c>
      <c r="W149" s="535">
        <f>W129</f>
        <v>0.25932684338330259</v>
      </c>
    </row>
    <row r="150" spans="1:23" x14ac:dyDescent="0.3">
      <c r="A150" s="533" t="s">
        <v>555</v>
      </c>
      <c r="B150" s="535">
        <f>'Calcul R84'!C245/'Calcul R84'!C247</f>
        <v>0.26690622227081684</v>
      </c>
      <c r="C150" s="535">
        <f>'Calcul R84'!D245/'Calcul R84'!D247</f>
        <v>0.29304359501991623</v>
      </c>
      <c r="D150" s="535">
        <f>'Calcul R84'!E245/'Calcul R84'!E247</f>
        <v>0.30099652374269675</v>
      </c>
      <c r="E150" s="535">
        <f>'Calcul R84'!F245/'Calcul R84'!F247</f>
        <v>0.28820088224339324</v>
      </c>
      <c r="F150" s="535">
        <f>'Calcul R84'!G245/'Calcul R84'!G247</f>
        <v>0.29826694895699135</v>
      </c>
      <c r="G150" s="535">
        <f>'Calcul R84'!H245/'Calcul R84'!H247</f>
        <v>0.28971571645238925</v>
      </c>
      <c r="H150" s="535">
        <f>'Calcul R84'!I245/'Calcul R84'!I247</f>
        <v>0.30337095159681149</v>
      </c>
      <c r="I150" s="535">
        <f>'Calcul R84'!J245/'Calcul R84'!J247</f>
        <v>0.30551884345500135</v>
      </c>
      <c r="J150" s="535">
        <f>'Calcul R84'!K245/'Calcul R84'!K247</f>
        <v>0.32582375111907774</v>
      </c>
      <c r="K150" s="535">
        <f>'Calcul R84'!L245/'Calcul R84'!L247</f>
        <v>0.32356592546660773</v>
      </c>
      <c r="L150" s="535">
        <f>'Calcul R84'!M245/'Calcul R84'!M247</f>
        <v>0.33206057650026577</v>
      </c>
      <c r="M150" s="535">
        <f>'Calcul R84'!N245/'Calcul R84'!N247</f>
        <v>0.32496711627707148</v>
      </c>
      <c r="N150" s="535">
        <f>'Calcul R84'!O245/'Calcul R84'!O247</f>
        <v>0.28733572067727836</v>
      </c>
      <c r="O150" s="535">
        <f>'Calcul R84'!P245/'Calcul R84'!P247</f>
        <v>0.29146755968239552</v>
      </c>
      <c r="P150" s="535"/>
      <c r="Q150" s="535"/>
      <c r="R150" s="535"/>
      <c r="S150" s="535"/>
      <c r="T150" s="535"/>
      <c r="U150" s="535"/>
      <c r="V150" s="535">
        <f>'Calcul R84'!W245/'Calcul R84'!W247</f>
        <v>0.30303423728634138</v>
      </c>
      <c r="W150" s="535">
        <f>'Calcul R84'!X245/'Calcul R84'!X247</f>
        <v>0.29523556206206059</v>
      </c>
    </row>
    <row r="151" spans="1:23" x14ac:dyDescent="0.3">
      <c r="A151" s="533" t="s">
        <v>89</v>
      </c>
      <c r="B151" s="535">
        <f>'Calcul R84'!C240/'Calcul R84'!C242</f>
        <v>1.0710213383862761</v>
      </c>
      <c r="C151" s="535">
        <f>'Calcul R84'!D240/'Calcul R84'!D242</f>
        <v>1.1957979826508931</v>
      </c>
      <c r="D151" s="535">
        <f>'Calcul R84'!E240/'Calcul R84'!E242</f>
        <v>1.101222145105905</v>
      </c>
      <c r="E151" s="535">
        <f>'Calcul R84'!F240/'Calcul R84'!F242</f>
        <v>1.0019907584063088</v>
      </c>
      <c r="F151" s="535">
        <f>'Calcul R84'!G240/'Calcul R84'!G242</f>
        <v>1.2131548154231093</v>
      </c>
      <c r="G151" s="535">
        <f>'Calcul R84'!H240/'Calcul R84'!H242</f>
        <v>1.0896717777845739</v>
      </c>
      <c r="H151" s="535">
        <f>'Calcul R84'!I240/'Calcul R84'!I242</f>
        <v>0.82778711464953969</v>
      </c>
      <c r="I151" s="535">
        <f>'Calcul R84'!J240/'Calcul R84'!J242</f>
        <v>0.96513120715399559</v>
      </c>
      <c r="J151" s="535">
        <f>'Calcul R84'!K240/'Calcul R84'!K242</f>
        <v>0.86698450774181868</v>
      </c>
      <c r="K151" s="535">
        <f>'Calcul R84'!L240/'Calcul R84'!L242</f>
        <v>0.9149418005492167</v>
      </c>
      <c r="L151" s="535">
        <f>'Calcul R84'!M240/'Calcul R84'!M242</f>
        <v>0.79273536895174268</v>
      </c>
      <c r="M151" s="535">
        <f>'Calcul R84'!N240/'Calcul R84'!N242</f>
        <v>0.47261252289676664</v>
      </c>
      <c r="N151" s="535">
        <f>'Calcul R84'!O240/'Calcul R84'!O242</f>
        <v>0.87301845462002936</v>
      </c>
      <c r="O151" s="535">
        <f>'Calcul R84'!P240/'Calcul R84'!P242</f>
        <v>0.86626013968138449</v>
      </c>
      <c r="P151" s="535"/>
      <c r="Q151" s="535"/>
      <c r="R151" s="535"/>
      <c r="S151" s="535"/>
      <c r="T151" s="535"/>
      <c r="U151" s="535"/>
      <c r="V151" s="535">
        <f>'Calcul R84'!W240/'Calcul R84'!W242</f>
        <v>0.6762468167508241</v>
      </c>
      <c r="W151" s="535">
        <f>'Calcul R84'!X240/'Calcul R84'!X242</f>
        <v>0.64404458738173731</v>
      </c>
    </row>
    <row r="152" spans="1:23" x14ac:dyDescent="0.3">
      <c r="A152" s="533" t="s">
        <v>115</v>
      </c>
      <c r="B152" s="535">
        <f>'Calcul R84'!C249/'Calcul R84'!C251</f>
        <v>0.58517659021039448</v>
      </c>
      <c r="C152" s="535">
        <f>'Calcul R84'!D249/'Calcul R84'!D251</f>
        <v>0.59420933853331459</v>
      </c>
      <c r="D152" s="535">
        <f>'Calcul R84'!E249/'Calcul R84'!E251</f>
        <v>0.55948072987571795</v>
      </c>
      <c r="E152" s="535">
        <f>'Calcul R84'!F249/'Calcul R84'!F251</f>
        <v>0.55065913463205207</v>
      </c>
      <c r="F152" s="535">
        <f>'Calcul R84'!G249/'Calcul R84'!G251</f>
        <v>0.54187551873335627</v>
      </c>
      <c r="G152" s="535">
        <f>'Calcul R84'!H249/'Calcul R84'!H251</f>
        <v>0.54506220111645853</v>
      </c>
      <c r="H152" s="535">
        <f>'Calcul R84'!I249/'Calcul R84'!I251</f>
        <v>0.54956743640017292</v>
      </c>
      <c r="I152" s="535">
        <f>'Calcul R84'!J249/'Calcul R84'!J251</f>
        <v>0.54136409938239261</v>
      </c>
      <c r="J152" s="535">
        <f>'Calcul R84'!K249/'Calcul R84'!K251</f>
        <v>0.51906691648583725</v>
      </c>
      <c r="K152" s="535">
        <f>'Calcul R84'!L249/'Calcul R84'!L251</f>
        <v>0.50991770060528041</v>
      </c>
      <c r="L152" s="535">
        <f>'Calcul R84'!M249/'Calcul R84'!M251</f>
        <v>0.51439602517120075</v>
      </c>
      <c r="M152" s="535">
        <f>'Calcul R84'!N249/'Calcul R84'!N251</f>
        <v>0.51325412909778179</v>
      </c>
      <c r="N152" s="535">
        <f>'Calcul R84'!O249/'Calcul R84'!O251</f>
        <v>0.48448642732656699</v>
      </c>
      <c r="O152" s="535">
        <f>'Calcul R84'!P249/'Calcul R84'!P251</f>
        <v>0.47329871555681946</v>
      </c>
      <c r="P152" s="535"/>
      <c r="Q152" s="535"/>
      <c r="R152" s="535"/>
      <c r="S152" s="535"/>
      <c r="T152" s="535"/>
      <c r="U152" s="535"/>
      <c r="V152" s="535">
        <f>'Calcul R84'!W249/'Calcul R84'!W251</f>
        <v>0.46146836683477138</v>
      </c>
      <c r="W152" s="535">
        <f>'Calcul R84'!X249/'Calcul R84'!X251</f>
        <v>0.49289011143900818</v>
      </c>
    </row>
    <row r="153" spans="1:23" x14ac:dyDescent="0.3">
      <c r="A153" s="533" t="s">
        <v>19</v>
      </c>
      <c r="B153" s="535">
        <f t="shared" ref="B153:O153" si="3">B145</f>
        <v>0.84726377636153272</v>
      </c>
      <c r="C153" s="535">
        <f t="shared" si="3"/>
        <v>0.91044086277656522</v>
      </c>
      <c r="D153" s="535">
        <f t="shared" si="3"/>
        <v>0.95072486198898098</v>
      </c>
      <c r="E153" s="535">
        <f t="shared" si="3"/>
        <v>0.90129484279282823</v>
      </c>
      <c r="F153" s="535">
        <f t="shared" si="3"/>
        <v>0.90900280694941937</v>
      </c>
      <c r="G153" s="535">
        <f t="shared" si="3"/>
        <v>0.89764027892605647</v>
      </c>
      <c r="H153" s="535">
        <f t="shared" si="3"/>
        <v>0.90397027193248292</v>
      </c>
      <c r="I153" s="535">
        <f t="shared" si="3"/>
        <v>0.83806495754866517</v>
      </c>
      <c r="J153" s="535">
        <f t="shared" si="3"/>
        <v>0.78748618844835805</v>
      </c>
      <c r="K153" s="535">
        <f t="shared" si="3"/>
        <v>0.76618159478702785</v>
      </c>
      <c r="L153" s="535">
        <f t="shared" si="3"/>
        <v>0.67998615231374027</v>
      </c>
      <c r="M153" s="535">
        <f t="shared" si="3"/>
        <v>0.69629589553405902</v>
      </c>
      <c r="N153" s="535">
        <f t="shared" si="3"/>
        <v>0.6676121913436367</v>
      </c>
      <c r="O153" s="535">
        <f t="shared" si="3"/>
        <v>0.63870805008544451</v>
      </c>
      <c r="P153" s="535"/>
      <c r="Q153" s="535"/>
      <c r="R153" s="535"/>
      <c r="S153" s="535"/>
      <c r="T153" s="535"/>
      <c r="U153" s="535"/>
      <c r="V153" s="535">
        <f>V145</f>
        <v>0.61867718317040721</v>
      </c>
      <c r="W153" s="535">
        <f>W145</f>
        <v>0.6313032481330686</v>
      </c>
    </row>
    <row r="154" spans="1:23" x14ac:dyDescent="0.3">
      <c r="A154" s="533" t="s">
        <v>116</v>
      </c>
      <c r="B154" s="535">
        <f t="shared" ref="B154:O154" si="4">B146</f>
        <v>1.0099283385875435</v>
      </c>
      <c r="C154" s="535">
        <f t="shared" si="4"/>
        <v>1.0170963912013415</v>
      </c>
      <c r="D154" s="535">
        <f t="shared" si="4"/>
        <v>1.0200216098546346</v>
      </c>
      <c r="E154" s="535">
        <f t="shared" si="4"/>
        <v>0.99735561406262319</v>
      </c>
      <c r="F154" s="535">
        <f t="shared" si="4"/>
        <v>1.016240285309894</v>
      </c>
      <c r="G154" s="535">
        <f t="shared" si="4"/>
        <v>1.0226717935212231</v>
      </c>
      <c r="H154" s="535">
        <f t="shared" si="4"/>
        <v>1.0124030799975996</v>
      </c>
      <c r="I154" s="535">
        <f t="shared" si="4"/>
        <v>1.0062329304590967</v>
      </c>
      <c r="J154" s="535">
        <f t="shared" si="4"/>
        <v>1.0086411241440352</v>
      </c>
      <c r="K154" s="535">
        <f t="shared" si="4"/>
        <v>0.93173691182527008</v>
      </c>
      <c r="L154" s="535">
        <f t="shared" si="4"/>
        <v>0.97172767846281771</v>
      </c>
      <c r="M154" s="535">
        <f t="shared" si="4"/>
        <v>0.91456537147458272</v>
      </c>
      <c r="N154" s="535">
        <f t="shared" si="4"/>
        <v>0.91253957171108002</v>
      </c>
      <c r="O154" s="535">
        <f t="shared" si="4"/>
        <v>0.87335018698127664</v>
      </c>
      <c r="P154" s="535"/>
      <c r="Q154" s="535"/>
      <c r="R154" s="535"/>
      <c r="S154" s="535"/>
      <c r="T154" s="535"/>
      <c r="U154" s="535"/>
      <c r="V154" s="535">
        <f>V146</f>
        <v>0.81660551957105409</v>
      </c>
      <c r="W154" s="535">
        <f>W146</f>
        <v>0.90733946619006012</v>
      </c>
    </row>
    <row r="155" spans="1:23" s="182" customFormat="1" x14ac:dyDescent="0.3">
      <c r="A155" s="568" t="s">
        <v>620</v>
      </c>
      <c r="B155" s="303"/>
      <c r="C155" s="303"/>
      <c r="D155" s="303"/>
      <c r="E155" s="303"/>
      <c r="F155" s="303"/>
      <c r="G155" s="303"/>
      <c r="H155" s="303"/>
      <c r="I155" s="303"/>
      <c r="J155" s="303"/>
      <c r="K155" s="303"/>
      <c r="L155" s="303"/>
      <c r="M155" s="303"/>
      <c r="N155" s="303"/>
      <c r="O155" s="303"/>
      <c r="P155" s="303"/>
      <c r="Q155" s="303"/>
      <c r="R155" s="303"/>
      <c r="S155" s="303"/>
      <c r="T155" s="303"/>
      <c r="U155" s="303"/>
      <c r="V155" s="303"/>
      <c r="W155" s="303"/>
    </row>
    <row r="157" spans="1:23" ht="28.8" x14ac:dyDescent="0.3">
      <c r="A157" s="333" t="s">
        <v>441</v>
      </c>
      <c r="B157" s="110" t="s">
        <v>277</v>
      </c>
      <c r="C157" s="110" t="s">
        <v>370</v>
      </c>
      <c r="D157" s="110" t="s">
        <v>375</v>
      </c>
      <c r="E157" s="506" t="s">
        <v>537</v>
      </c>
      <c r="F157" s="507" t="s">
        <v>538</v>
      </c>
      <c r="G157" s="110" t="s">
        <v>331</v>
      </c>
    </row>
    <row r="158" spans="1:23" x14ac:dyDescent="0.3">
      <c r="A158" s="109" t="s">
        <v>56</v>
      </c>
      <c r="B158" s="566">
        <f>AVERAGE(B147:F147)</f>
        <v>0.75569916156902206</v>
      </c>
      <c r="C158" s="566">
        <f>AVERAGE(F147:J147)</f>
        <v>0.71040318385227885</v>
      </c>
      <c r="D158" s="566">
        <f>AVERAGE(K147:O147)</f>
        <v>0.62115377157155816</v>
      </c>
      <c r="E158" s="566">
        <f>V147</f>
        <v>0.60264895880696046</v>
      </c>
      <c r="F158" s="566">
        <f>W147</f>
        <v>0.57395138933996226</v>
      </c>
      <c r="G158" s="523">
        <v>1</v>
      </c>
    </row>
    <row r="159" spans="1:23" x14ac:dyDescent="0.3">
      <c r="A159" s="109" t="s">
        <v>599</v>
      </c>
      <c r="B159" s="566">
        <f>AVERAGE(B148:F148)</f>
        <v>0.41397576228318023</v>
      </c>
      <c r="C159" s="566">
        <f>AVERAGE(F148:J148)</f>
        <v>0.43048510283225327</v>
      </c>
      <c r="D159" s="566">
        <f>AVERAGE(K148:O148)</f>
        <v>0.47250913194933331</v>
      </c>
      <c r="E159" s="566">
        <f>V148</f>
        <v>0.48688450213869844</v>
      </c>
      <c r="F159" s="566">
        <f>W148</f>
        <v>0.48688450213869844</v>
      </c>
      <c r="G159" s="523">
        <v>1</v>
      </c>
    </row>
    <row r="160" spans="1:23" x14ac:dyDescent="0.3">
      <c r="A160" s="109" t="s">
        <v>113</v>
      </c>
      <c r="B160" s="566">
        <f>AVERAGE(B129:F129)</f>
        <v>0.66385954252425783</v>
      </c>
      <c r="C160" s="566">
        <f>AVERAGE(F129:J129)</f>
        <v>0.67978749377137837</v>
      </c>
      <c r="D160" s="566">
        <f>AVERAGE(K129:O129)</f>
        <v>0.39509183112247859</v>
      </c>
      <c r="E160" s="566">
        <f>V129</f>
        <v>0.28525952772163288</v>
      </c>
      <c r="F160" s="566">
        <f>W129</f>
        <v>0.25932684338330259</v>
      </c>
      <c r="G160" s="523">
        <v>1</v>
      </c>
    </row>
    <row r="161" spans="1:7" x14ac:dyDescent="0.3">
      <c r="A161" s="109" t="s">
        <v>276</v>
      </c>
      <c r="B161" s="566">
        <f>AVERAGE(B150:F150)</f>
        <v>0.28948283444676293</v>
      </c>
      <c r="C161" s="566">
        <f>AVERAGE(F150:J150)</f>
        <v>0.30453924231605428</v>
      </c>
      <c r="D161" s="566">
        <f>AVERAGE(K150:O150)</f>
        <v>0.31187937972072377</v>
      </c>
      <c r="E161" s="566">
        <f t="shared" ref="E161:F163" si="5">V150</f>
        <v>0.30303423728634138</v>
      </c>
      <c r="F161" s="566">
        <f t="shared" si="5"/>
        <v>0.29523556206206059</v>
      </c>
      <c r="G161" s="523">
        <v>1</v>
      </c>
    </row>
    <row r="162" spans="1:7" x14ac:dyDescent="0.3">
      <c r="A162" s="109" t="s">
        <v>89</v>
      </c>
      <c r="B162" s="566">
        <f>AVERAGE(B151:F151)</f>
        <v>1.1166374079944983</v>
      </c>
      <c r="C162" s="566">
        <f>AVERAGE(F151:J151)</f>
        <v>0.99254588455060744</v>
      </c>
      <c r="D162" s="566">
        <f>AVERAGE(K151:O151)</f>
        <v>0.78391365733982799</v>
      </c>
      <c r="E162" s="566">
        <f t="shared" si="5"/>
        <v>0.6762468167508241</v>
      </c>
      <c r="F162" s="566">
        <f t="shared" si="5"/>
        <v>0.64404458738173731</v>
      </c>
      <c r="G162" s="523">
        <v>1</v>
      </c>
    </row>
    <row r="163" spans="1:7" x14ac:dyDescent="0.3">
      <c r="A163" s="110" t="s">
        <v>115</v>
      </c>
      <c r="B163" s="566">
        <f>AVERAGE(B152:F152)</f>
        <v>0.56628026239696705</v>
      </c>
      <c r="C163" s="566">
        <f>AVERAGE(F152:J152)</f>
        <v>0.53938723442364345</v>
      </c>
      <c r="D163" s="566">
        <f>AVERAGE(K152:O152)</f>
        <v>0.49907059955152988</v>
      </c>
      <c r="E163" s="566">
        <f t="shared" si="5"/>
        <v>0.46146836683477138</v>
      </c>
      <c r="F163" s="566">
        <f t="shared" si="5"/>
        <v>0.49289011143900818</v>
      </c>
      <c r="G163" s="523">
        <v>1</v>
      </c>
    </row>
    <row r="164" spans="1:7" x14ac:dyDescent="0.3">
      <c r="A164" s="110" t="s">
        <v>19</v>
      </c>
      <c r="B164" s="566">
        <f>AVERAGE(B145:F145)</f>
        <v>0.90374543017386544</v>
      </c>
      <c r="C164" s="566">
        <f>AVERAGE(F145:J145)</f>
        <v>0.86723290076099635</v>
      </c>
      <c r="D164" s="566">
        <f>AVERAGE(K145:O145)</f>
        <v>0.68975677681278169</v>
      </c>
      <c r="E164" s="566">
        <f>V145</f>
        <v>0.61867718317040721</v>
      </c>
      <c r="F164" s="566">
        <f>W145</f>
        <v>0.6313032481330686</v>
      </c>
      <c r="G164" s="523">
        <v>1</v>
      </c>
    </row>
    <row r="165" spans="1:7" x14ac:dyDescent="0.3">
      <c r="A165" s="110" t="s">
        <v>116</v>
      </c>
      <c r="B165" s="566">
        <f>AVERAGE(B146:F146)</f>
        <v>1.0121284478032073</v>
      </c>
      <c r="C165" s="566">
        <f>AVERAGE(F146:J146)</f>
        <v>1.0132378426863697</v>
      </c>
      <c r="D165" s="566">
        <f>AVERAGE(K146:O146)</f>
        <v>0.9207839440910055</v>
      </c>
      <c r="E165" s="566">
        <f>V146</f>
        <v>0.81660551957105409</v>
      </c>
      <c r="F165" s="566">
        <f>W146</f>
        <v>0.90733946619006012</v>
      </c>
      <c r="G165" s="523">
        <v>1</v>
      </c>
    </row>
    <row r="166" spans="1:7" x14ac:dyDescent="0.3">
      <c r="A166" s="121"/>
      <c r="B166" s="121"/>
      <c r="C166" s="121"/>
      <c r="D166" s="121"/>
      <c r="E166" s="121"/>
      <c r="F166" s="121"/>
    </row>
  </sheetData>
  <mergeCells count="1">
    <mergeCell ref="I17:K2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257"/>
  <sheetViews>
    <sheetView showGridLines="0" zoomScale="80" zoomScaleNormal="80" workbookViewId="0">
      <selection activeCell="A34" sqref="A34"/>
    </sheetView>
  </sheetViews>
  <sheetFormatPr baseColWidth="10" defaultRowHeight="14.4" x14ac:dyDescent="0.3"/>
  <cols>
    <col min="1" max="1" width="15.77734375" customWidth="1"/>
    <col min="2" max="2" width="24.109375" customWidth="1"/>
    <col min="3" max="3" width="11.44140625" customWidth="1"/>
    <col min="4" max="4" width="9.6640625" bestFit="1" customWidth="1"/>
    <col min="5" max="6" width="10" bestFit="1" customWidth="1"/>
    <col min="7" max="7" width="9.88671875" customWidth="1"/>
    <col min="8" max="8" width="9.6640625" bestFit="1" customWidth="1"/>
    <col min="9" max="9" width="10.88671875" customWidth="1"/>
    <col min="10" max="10" width="11.33203125" customWidth="1"/>
    <col min="11" max="11" width="8.88671875" bestFit="1" customWidth="1"/>
    <col min="12" max="14" width="10" bestFit="1" customWidth="1"/>
    <col min="15" max="15" width="8.88671875" bestFit="1" customWidth="1"/>
    <col min="16" max="16" width="9.6640625" customWidth="1"/>
    <col min="17" max="18" width="7.5546875" bestFit="1" customWidth="1"/>
    <col min="19" max="20" width="7.5546875" style="1" bestFit="1" customWidth="1"/>
    <col min="21" max="21" width="8.109375" customWidth="1"/>
    <col min="22" max="22" width="8" customWidth="1"/>
    <col min="23" max="23" width="10.109375" bestFit="1" customWidth="1"/>
    <col min="24" max="24" width="9.88671875" bestFit="1" customWidth="1"/>
    <col min="25" max="25" width="8.88671875" customWidth="1"/>
    <col min="26" max="26" width="17.109375" customWidth="1"/>
    <col min="27" max="27" width="9.88671875" customWidth="1"/>
    <col min="28" max="28" width="31.6640625" bestFit="1" customWidth="1"/>
    <col min="29" max="29" width="9.33203125" bestFit="1" customWidth="1"/>
    <col min="30" max="30" width="5.44140625" bestFit="1" customWidth="1"/>
    <col min="31" max="31" width="8.109375" bestFit="1" customWidth="1"/>
    <col min="32" max="32" width="17.77734375" bestFit="1" customWidth="1"/>
    <col min="33" max="33" width="9.77734375" customWidth="1"/>
    <col min="34" max="36" width="12.109375" customWidth="1"/>
    <col min="37" max="37" width="8.5546875" customWidth="1"/>
    <col min="38" max="41" width="7.44140625" customWidth="1"/>
    <col min="42" max="42" width="10.6640625" customWidth="1"/>
    <col min="43" max="43" width="12" bestFit="1" customWidth="1"/>
    <col min="44" max="44" width="9.109375" style="1" customWidth="1"/>
    <col min="45" max="46" width="9.6640625" customWidth="1"/>
    <col min="47" max="48" width="7.44140625" bestFit="1" customWidth="1"/>
    <col min="49" max="49" width="7" customWidth="1"/>
    <col min="50" max="50" width="6.44140625" customWidth="1"/>
    <col min="51" max="51" width="7.5546875" bestFit="1" customWidth="1"/>
    <col min="52" max="52" width="19.33203125" bestFit="1" customWidth="1"/>
    <col min="53" max="55" width="10.5546875" bestFit="1" customWidth="1"/>
    <col min="56" max="56" width="17.88671875" bestFit="1" customWidth="1"/>
    <col min="57" max="57" width="16.88671875" bestFit="1" customWidth="1"/>
    <col min="58" max="58" width="19.33203125" bestFit="1" customWidth="1"/>
    <col min="63" max="63" width="16.88671875" bestFit="1" customWidth="1"/>
  </cols>
  <sheetData>
    <row r="1" spans="1:45" x14ac:dyDescent="0.3">
      <c r="B1" s="85" t="s">
        <v>278</v>
      </c>
      <c r="D1" s="75"/>
      <c r="E1" s="308" t="s">
        <v>374</v>
      </c>
      <c r="F1" s="75"/>
      <c r="G1" s="29"/>
      <c r="H1" s="157"/>
      <c r="I1" s="85"/>
      <c r="J1" s="158"/>
      <c r="K1" s="158"/>
      <c r="L1" s="158"/>
      <c r="M1" s="158"/>
      <c r="N1" s="158"/>
      <c r="O1" s="90"/>
      <c r="P1" s="158"/>
      <c r="Q1" s="158"/>
      <c r="R1" s="158"/>
      <c r="W1" s="9" t="s">
        <v>526</v>
      </c>
      <c r="X1" s="9" t="s">
        <v>527</v>
      </c>
      <c r="Y1" s="90"/>
      <c r="Z1" s="90"/>
      <c r="AA1" s="90"/>
      <c r="AB1" s="90"/>
      <c r="AC1" s="90"/>
      <c r="AG1" s="158"/>
      <c r="AK1" s="1"/>
      <c r="AL1" s="1"/>
      <c r="AM1" s="1"/>
      <c r="AR1"/>
      <c r="AS1" s="1"/>
    </row>
    <row r="2" spans="1:45" x14ac:dyDescent="0.3">
      <c r="A2" t="s">
        <v>118</v>
      </c>
      <c r="B2" s="85" t="s">
        <v>279</v>
      </c>
      <c r="C2" s="117">
        <v>2010</v>
      </c>
      <c r="D2" s="117">
        <v>2011</v>
      </c>
      <c r="E2" s="117">
        <v>2012</v>
      </c>
      <c r="F2" s="117">
        <v>2013</v>
      </c>
      <c r="G2" s="117">
        <v>2014</v>
      </c>
      <c r="H2" s="117">
        <v>2015</v>
      </c>
      <c r="I2" s="117">
        <v>2016</v>
      </c>
      <c r="J2" s="117">
        <v>2017</v>
      </c>
      <c r="K2" s="117">
        <v>2018</v>
      </c>
      <c r="L2" s="117">
        <v>2019</v>
      </c>
      <c r="M2" s="117">
        <v>2020</v>
      </c>
      <c r="N2" s="117">
        <v>2021</v>
      </c>
      <c r="O2" s="117">
        <v>2022</v>
      </c>
      <c r="P2" s="117">
        <v>2023</v>
      </c>
      <c r="Q2" s="117">
        <v>2024</v>
      </c>
      <c r="R2" s="117">
        <v>2025</v>
      </c>
      <c r="S2" s="117">
        <v>2026</v>
      </c>
      <c r="T2" s="117">
        <v>2027</v>
      </c>
      <c r="U2" s="117">
        <v>2028</v>
      </c>
      <c r="V2" s="119">
        <v>2029</v>
      </c>
      <c r="W2" s="119">
        <v>2030</v>
      </c>
      <c r="X2" s="117">
        <v>2030</v>
      </c>
      <c r="Y2" s="90"/>
      <c r="Z2" s="160" t="s">
        <v>573</v>
      </c>
      <c r="AC2" s="80">
        <v>2020</v>
      </c>
      <c r="AD2" s="80" t="s">
        <v>380</v>
      </c>
      <c r="AE2" s="80" t="s">
        <v>325</v>
      </c>
      <c r="AF2" s="142" t="s">
        <v>575</v>
      </c>
      <c r="AG2" s="142" t="s">
        <v>574</v>
      </c>
      <c r="AK2" s="1"/>
      <c r="AL2" s="1"/>
      <c r="AM2" s="1"/>
      <c r="AR2"/>
      <c r="AS2" s="1"/>
    </row>
    <row r="3" spans="1:45" x14ac:dyDescent="0.3">
      <c r="A3" t="s">
        <v>281</v>
      </c>
      <c r="B3" s="9" t="s">
        <v>1</v>
      </c>
      <c r="C3" s="188">
        <v>92.9</v>
      </c>
      <c r="D3" s="188">
        <v>92.6</v>
      </c>
      <c r="E3" s="188">
        <v>91.9</v>
      </c>
      <c r="F3" s="188">
        <v>91.4</v>
      </c>
      <c r="G3" s="188">
        <v>93.9</v>
      </c>
      <c r="H3" s="187">
        <v>90.9</v>
      </c>
      <c r="I3" s="187">
        <v>90.7</v>
      </c>
      <c r="J3" s="187">
        <v>91.6</v>
      </c>
      <c r="K3" s="187">
        <v>90.3</v>
      </c>
      <c r="L3" s="187">
        <v>89.7</v>
      </c>
      <c r="M3" s="187">
        <v>89.7</v>
      </c>
      <c r="N3" s="187">
        <v>92.8</v>
      </c>
      <c r="O3" s="307">
        <v>92</v>
      </c>
      <c r="P3" s="380">
        <f>$O$3+(1/8)*($W$3-$O$3)</f>
        <v>91.875</v>
      </c>
      <c r="Q3" s="187"/>
      <c r="R3" s="187"/>
      <c r="S3" s="188"/>
      <c r="T3" s="188"/>
      <c r="U3" s="188"/>
      <c r="V3" s="188"/>
      <c r="W3" s="361">
        <v>91</v>
      </c>
      <c r="X3" s="107">
        <f>W3*(1+'Hypothèses conso'!$B$2)</f>
        <v>95.55</v>
      </c>
      <c r="Y3" s="9" t="s">
        <v>1</v>
      </c>
      <c r="Z3" s="527">
        <f t="shared" ref="Z3:Z26" si="0">W3/M3-1</f>
        <v>1.449275362318847E-2</v>
      </c>
      <c r="AA3" s="453"/>
      <c r="AB3" s="394" t="s">
        <v>56</v>
      </c>
      <c r="AC3" s="59">
        <f>M3+M4+M5</f>
        <v>120.80000000000001</v>
      </c>
      <c r="AD3" s="59">
        <f>SUM(W3:W5)</f>
        <v>116.8</v>
      </c>
      <c r="AE3" s="59">
        <f>SUM(X3:X5)</f>
        <v>122.64</v>
      </c>
      <c r="AF3" s="285">
        <f>AE3/AC3-1</f>
        <v>1.5231788079470121E-2</v>
      </c>
      <c r="AG3" s="116" t="s">
        <v>576</v>
      </c>
      <c r="AH3" t="s">
        <v>577</v>
      </c>
      <c r="AK3" s="1"/>
      <c r="AL3" s="1"/>
      <c r="AM3" s="1"/>
      <c r="AR3"/>
      <c r="AS3" s="1"/>
    </row>
    <row r="4" spans="1:45" x14ac:dyDescent="0.3">
      <c r="A4" t="s">
        <v>281</v>
      </c>
      <c r="B4" s="9" t="s">
        <v>4</v>
      </c>
      <c r="C4" s="188">
        <v>15.2</v>
      </c>
      <c r="D4" s="188">
        <v>15.5</v>
      </c>
      <c r="E4" s="188">
        <v>15.2</v>
      </c>
      <c r="F4" s="188">
        <v>16</v>
      </c>
      <c r="G4" s="188">
        <v>15.8</v>
      </c>
      <c r="H4" s="187">
        <v>15.8</v>
      </c>
      <c r="I4" s="187">
        <v>15.6</v>
      </c>
      <c r="J4" s="187">
        <v>16.3</v>
      </c>
      <c r="K4" s="187">
        <v>16.399999999999999</v>
      </c>
      <c r="L4" s="187">
        <v>13.8</v>
      </c>
      <c r="M4" s="187">
        <v>16.2</v>
      </c>
      <c r="N4" s="187">
        <v>16.7</v>
      </c>
      <c r="O4" s="307">
        <v>16.7</v>
      </c>
      <c r="P4" s="380">
        <f>$O$4+(1/8)*($W$4-$O$4)</f>
        <v>16.712499999999999</v>
      </c>
      <c r="Q4" s="187"/>
      <c r="R4" s="187"/>
      <c r="S4" s="188"/>
      <c r="T4" s="188"/>
      <c r="U4" s="188"/>
      <c r="V4" s="188"/>
      <c r="W4" s="188">
        <v>16.8</v>
      </c>
      <c r="X4" s="107">
        <f>W4*(1+'Hypothèses conso'!$B$2)</f>
        <v>17.64</v>
      </c>
      <c r="Y4" s="9" t="s">
        <v>4</v>
      </c>
      <c r="Z4" s="527">
        <f t="shared" si="0"/>
        <v>3.7037037037037202E-2</v>
      </c>
      <c r="AA4" s="453"/>
      <c r="AB4" s="383" t="s">
        <v>532</v>
      </c>
      <c r="AC4" s="59">
        <f>SUM(M6:M8)</f>
        <v>13.746239735697159</v>
      </c>
      <c r="AD4" s="59">
        <f>SUM(W6:W8)</f>
        <v>13.4</v>
      </c>
      <c r="AE4" s="59">
        <f>SUM(X6:X8)</f>
        <v>13.4</v>
      </c>
      <c r="AF4" s="285">
        <f t="shared" ref="AF4:AF12" si="1">AE4/AC4-1</f>
        <v>-2.5187959933364201E-2</v>
      </c>
      <c r="AG4" s="116" t="s">
        <v>576</v>
      </c>
      <c r="AH4" t="s">
        <v>586</v>
      </c>
      <c r="AK4" s="1"/>
      <c r="AL4" s="1"/>
      <c r="AM4" s="1"/>
      <c r="AR4"/>
      <c r="AS4" s="1"/>
    </row>
    <row r="5" spans="1:45" x14ac:dyDescent="0.3">
      <c r="A5" t="s">
        <v>281</v>
      </c>
      <c r="B5" s="9" t="s">
        <v>84</v>
      </c>
      <c r="C5" s="188">
        <v>5.4</v>
      </c>
      <c r="D5" s="188">
        <v>5.6</v>
      </c>
      <c r="E5" s="188">
        <v>5.6</v>
      </c>
      <c r="F5" s="188">
        <v>6.1</v>
      </c>
      <c r="G5" s="188">
        <v>8.6999999999999993</v>
      </c>
      <c r="H5" s="187">
        <v>6.3</v>
      </c>
      <c r="I5" s="187">
        <v>7.2</v>
      </c>
      <c r="J5" s="187">
        <v>7.6</v>
      </c>
      <c r="K5" s="187">
        <v>13.2</v>
      </c>
      <c r="L5" s="187">
        <v>15.9</v>
      </c>
      <c r="M5" s="187">
        <v>14.9</v>
      </c>
      <c r="N5" s="187">
        <v>6.8</v>
      </c>
      <c r="O5" s="307">
        <v>8</v>
      </c>
      <c r="P5" s="380">
        <f>$O$5+(1/8)*($W$5-$O$5)</f>
        <v>8.125</v>
      </c>
      <c r="Q5" s="187"/>
      <c r="R5" s="187"/>
      <c r="S5" s="188"/>
      <c r="T5" s="188"/>
      <c r="U5" s="188"/>
      <c r="V5" s="188"/>
      <c r="W5" s="188">
        <v>9</v>
      </c>
      <c r="X5" s="107">
        <f>W5*(1+'Hypothèses conso'!$B$2)</f>
        <v>9.4500000000000011</v>
      </c>
      <c r="Y5" s="9" t="s">
        <v>84</v>
      </c>
      <c r="Z5" s="527">
        <f t="shared" si="0"/>
        <v>-0.39597315436241609</v>
      </c>
      <c r="AA5" s="453"/>
      <c r="AB5" s="384" t="s">
        <v>113</v>
      </c>
      <c r="AC5" s="59">
        <f>M9</f>
        <v>2.5</v>
      </c>
      <c r="AD5" s="59">
        <f>W9</f>
        <v>3</v>
      </c>
      <c r="AE5" s="59">
        <f>X9</f>
        <v>3.3000000000000003</v>
      </c>
      <c r="AF5" s="285">
        <f t="shared" si="1"/>
        <v>0.32000000000000006</v>
      </c>
      <c r="AG5" s="116">
        <v>1.2</v>
      </c>
      <c r="AK5" s="1"/>
      <c r="AL5" s="1"/>
      <c r="AM5" s="1"/>
      <c r="AR5"/>
      <c r="AS5" s="1"/>
    </row>
    <row r="6" spans="1:45" x14ac:dyDescent="0.3">
      <c r="A6" t="s">
        <v>281</v>
      </c>
      <c r="B6" s="9" t="s">
        <v>104</v>
      </c>
      <c r="C6" s="188">
        <v>3.1</v>
      </c>
      <c r="D6" s="188">
        <v>2</v>
      </c>
      <c r="E6" s="188">
        <v>2.7</v>
      </c>
      <c r="F6" s="188">
        <v>2.2000000000000002</v>
      </c>
      <c r="G6" s="188">
        <v>1</v>
      </c>
      <c r="H6" s="187">
        <v>2.5</v>
      </c>
      <c r="I6" s="187">
        <v>2.5</v>
      </c>
      <c r="J6" s="187">
        <v>2.5</v>
      </c>
      <c r="K6" s="187">
        <v>2.5</v>
      </c>
      <c r="L6" s="187">
        <v>2.5</v>
      </c>
      <c r="M6" s="187">
        <v>2.5</v>
      </c>
      <c r="N6" s="187">
        <v>2.5</v>
      </c>
      <c r="O6" s="307">
        <v>2.5</v>
      </c>
      <c r="P6" s="380">
        <f>$O$6+(1/8)*($W$6-$O$6)</f>
        <v>2.5</v>
      </c>
      <c r="Q6" s="187"/>
      <c r="R6" s="187"/>
      <c r="S6" s="188"/>
      <c r="T6" s="188"/>
      <c r="U6" s="188"/>
      <c r="V6" s="188"/>
      <c r="W6" s="188">
        <v>2.5</v>
      </c>
      <c r="X6" s="107">
        <f>W6*(1+'Hypothèses conso'!$B$3)</f>
        <v>2.5</v>
      </c>
      <c r="Y6" s="9" t="s">
        <v>104</v>
      </c>
      <c r="Z6" s="527">
        <f t="shared" si="0"/>
        <v>0</v>
      </c>
      <c r="AA6" s="453"/>
      <c r="AB6" s="385" t="s">
        <v>525</v>
      </c>
      <c r="AC6" s="59">
        <f>SUM(M10:M16)-M11</f>
        <v>55.059588108036458</v>
      </c>
      <c r="AD6" s="59">
        <f>SUM(W10:W15)-W11</f>
        <v>41.8</v>
      </c>
      <c r="AE6" s="59">
        <f>SUM(X10:X15)-X11</f>
        <v>43.89</v>
      </c>
      <c r="AF6" s="285">
        <f t="shared" si="1"/>
        <v>-0.20286363359856219</v>
      </c>
      <c r="AG6" s="116">
        <v>0.09</v>
      </c>
      <c r="AK6" s="1"/>
      <c r="AL6" s="1"/>
      <c r="AM6" s="1"/>
      <c r="AR6"/>
      <c r="AS6" s="1"/>
    </row>
    <row r="7" spans="1:45" x14ac:dyDescent="0.3">
      <c r="A7" t="s">
        <v>281</v>
      </c>
      <c r="B7" s="9" t="s">
        <v>105</v>
      </c>
      <c r="C7" s="188">
        <v>3.9</v>
      </c>
      <c r="D7" s="188">
        <v>4.7</v>
      </c>
      <c r="E7" s="188">
        <v>4.7</v>
      </c>
      <c r="F7" s="188">
        <v>5.4</v>
      </c>
      <c r="G7" s="188">
        <v>4.9000000000000004</v>
      </c>
      <c r="H7" s="187">
        <v>4.9000000000000004</v>
      </c>
      <c r="I7" s="187">
        <v>4.9000000000000004</v>
      </c>
      <c r="J7" s="187">
        <v>4.9000000000000004</v>
      </c>
      <c r="K7" s="187">
        <v>4.9000000000000004</v>
      </c>
      <c r="L7" s="187">
        <v>4.9000000000000004</v>
      </c>
      <c r="M7" s="187">
        <v>4.9000000000000004</v>
      </c>
      <c r="N7" s="187">
        <v>4.9000000000000004</v>
      </c>
      <c r="O7" s="307">
        <v>4.9000000000000004</v>
      </c>
      <c r="P7" s="380">
        <f>$O$7+(1/8)*($W$7-$O$7)</f>
        <v>4.9000000000000004</v>
      </c>
      <c r="Q7" s="187"/>
      <c r="R7" s="187"/>
      <c r="S7" s="188"/>
      <c r="T7" s="188"/>
      <c r="U7" s="188"/>
      <c r="V7" s="188"/>
      <c r="W7" s="188">
        <v>4.9000000000000004</v>
      </c>
      <c r="X7" s="107">
        <f>W7*(1+'Hypothèses conso'!$B$3)</f>
        <v>4.9000000000000004</v>
      </c>
      <c r="Y7" s="9" t="s">
        <v>105</v>
      </c>
      <c r="Z7" s="527">
        <f t="shared" si="0"/>
        <v>0</v>
      </c>
      <c r="AA7" s="453"/>
      <c r="AB7" s="385" t="s">
        <v>107</v>
      </c>
      <c r="AC7" s="59">
        <f>M11</f>
        <v>47.6</v>
      </c>
      <c r="AD7" s="59">
        <f>W11</f>
        <v>47.5</v>
      </c>
      <c r="AE7" s="59">
        <f>X11</f>
        <v>47.5</v>
      </c>
      <c r="AF7" s="285">
        <f t="shared" si="1"/>
        <v>-2.1008403361344463E-3</v>
      </c>
      <c r="AG7" s="116" t="s">
        <v>576</v>
      </c>
      <c r="AH7" t="s">
        <v>586</v>
      </c>
      <c r="AK7" s="1"/>
      <c r="AL7" s="1"/>
      <c r="AM7" s="1"/>
      <c r="AR7"/>
      <c r="AS7" s="1"/>
    </row>
    <row r="8" spans="1:45" x14ac:dyDescent="0.3">
      <c r="A8" t="s">
        <v>283</v>
      </c>
      <c r="B8" s="9" t="s">
        <v>85</v>
      </c>
      <c r="C8" s="107">
        <f>'cereal - util hum anim indus'!L341</f>
        <v>5.0753163699225254</v>
      </c>
      <c r="D8" s="107">
        <f>'cereal - util hum anim indus'!M341</f>
        <v>4.6846583506604969</v>
      </c>
      <c r="E8" s="107">
        <f>'cereal - util hum anim indus'!N341</f>
        <v>5.9037975782586294</v>
      </c>
      <c r="F8" s="107">
        <f>'cereal - util hum anim indus'!O341</f>
        <v>5.2303423958654891</v>
      </c>
      <c r="G8" s="107">
        <f>'cereal - util hum anim indus'!P341</f>
        <v>5.2475364136380929</v>
      </c>
      <c r="H8" s="107">
        <f>'cereal - util hum anim indus'!Q341</f>
        <v>5.7602536847218557</v>
      </c>
      <c r="I8" s="107">
        <f>'cereal - util hum anim indus'!R341</f>
        <v>7.2875443064326664</v>
      </c>
      <c r="J8" s="107">
        <f>'cereal - util hum anim indus'!S341</f>
        <v>7.9973607590532616</v>
      </c>
      <c r="K8" s="107">
        <f>'cereal - util hum anim indus'!T341</f>
        <v>6.0680899934529773</v>
      </c>
      <c r="L8" s="107">
        <f>'cereal - util hum anim indus'!U341</f>
        <v>5.8490793949027031</v>
      </c>
      <c r="M8" s="107">
        <f>'cereal - util hum anim indus'!V341</f>
        <v>6.346239735697158</v>
      </c>
      <c r="N8" s="107">
        <f>'cereal - util hum anim indus'!W341</f>
        <v>5.4529174731169148</v>
      </c>
      <c r="O8" s="107">
        <f>'cereal - util hum anim indus'!X341</f>
        <v>5.822130790762829</v>
      </c>
      <c r="P8" s="380">
        <f>$O$8+(1/8)*($W$8-$O$8)</f>
        <v>5.8443644419174756</v>
      </c>
      <c r="Q8" s="187"/>
      <c r="R8" s="187"/>
      <c r="S8" s="188"/>
      <c r="T8" s="188"/>
      <c r="U8" s="188"/>
      <c r="V8" s="188"/>
      <c r="W8" s="188">
        <v>6</v>
      </c>
      <c r="X8" s="107">
        <f>W8*(1+'Hypothèses conso'!$B$3)</f>
        <v>6</v>
      </c>
      <c r="Y8" s="9" t="s">
        <v>85</v>
      </c>
      <c r="Z8" s="527">
        <f t="shared" si="0"/>
        <v>-5.4558250257957241E-2</v>
      </c>
      <c r="AA8" s="453"/>
      <c r="AB8" s="386" t="s">
        <v>89</v>
      </c>
      <c r="AC8" s="59">
        <f>SUM(M17:M20)</f>
        <v>32.064557055542657</v>
      </c>
      <c r="AD8" s="59">
        <f>SUM(W17:W20)</f>
        <v>31.8</v>
      </c>
      <c r="AE8" s="59">
        <f>SUM(X17:X20)</f>
        <v>33.39</v>
      </c>
      <c r="AF8" s="285">
        <f t="shared" si="1"/>
        <v>4.1336699027570978E-2</v>
      </c>
      <c r="AG8" s="116">
        <v>0.13</v>
      </c>
      <c r="AK8" s="1"/>
      <c r="AL8" s="1"/>
      <c r="AM8" s="1"/>
      <c r="AR8"/>
      <c r="AS8" s="1"/>
    </row>
    <row r="9" spans="1:45" x14ac:dyDescent="0.3">
      <c r="A9" t="s">
        <v>281</v>
      </c>
      <c r="B9" s="9" t="s">
        <v>113</v>
      </c>
      <c r="C9" s="188">
        <v>1.7</v>
      </c>
      <c r="D9" s="188">
        <v>1.7</v>
      </c>
      <c r="E9" s="188">
        <v>1.7</v>
      </c>
      <c r="F9" s="188">
        <v>1.7</v>
      </c>
      <c r="G9" s="188">
        <v>1.8</v>
      </c>
      <c r="H9" s="187">
        <v>1.3</v>
      </c>
      <c r="I9" s="187">
        <v>1.6</v>
      </c>
      <c r="J9" s="187">
        <v>2</v>
      </c>
      <c r="K9" s="187">
        <v>2.2999999999999998</v>
      </c>
      <c r="L9" s="187">
        <v>2.5</v>
      </c>
      <c r="M9" s="187">
        <v>2.5</v>
      </c>
      <c r="N9" s="187">
        <v>2.1</v>
      </c>
      <c r="O9" s="307">
        <v>2.6</v>
      </c>
      <c r="P9" s="380">
        <f>$O$9+(1/8)*($W$9-$O$9)</f>
        <v>2.65</v>
      </c>
      <c r="Q9" s="187"/>
      <c r="R9" s="187"/>
      <c r="S9" s="188"/>
      <c r="T9" s="188"/>
      <c r="U9" s="188"/>
      <c r="V9" s="188"/>
      <c r="W9" s="188">
        <v>3</v>
      </c>
      <c r="X9" s="107">
        <f>W9*(1+'Hypothèses conso'!$B$4)</f>
        <v>3.3000000000000003</v>
      </c>
      <c r="Y9" s="9" t="s">
        <v>113</v>
      </c>
      <c r="Z9" s="527">
        <f t="shared" si="0"/>
        <v>0.19999999999999996</v>
      </c>
      <c r="AA9" s="453"/>
      <c r="AB9" s="387" t="s">
        <v>284</v>
      </c>
      <c r="AC9" s="59">
        <f>M21+M24</f>
        <v>24.5</v>
      </c>
      <c r="AD9" s="59">
        <f>W21+W24</f>
        <v>22</v>
      </c>
      <c r="AE9" s="59">
        <f>X21+X24</f>
        <v>19.8</v>
      </c>
      <c r="AF9" s="285">
        <f t="shared" si="1"/>
        <v>-0.19183673469387752</v>
      </c>
      <c r="AG9" s="116">
        <v>-0.12</v>
      </c>
      <c r="AK9" s="1"/>
      <c r="AL9" s="1"/>
      <c r="AM9" s="1"/>
      <c r="AR9"/>
      <c r="AS9" s="1"/>
    </row>
    <row r="10" spans="1:45" x14ac:dyDescent="0.3">
      <c r="A10" t="s">
        <v>281</v>
      </c>
      <c r="B10" s="9" t="s">
        <v>106</v>
      </c>
      <c r="C10" s="188">
        <v>4.3</v>
      </c>
      <c r="D10" s="188">
        <v>4.0999999999999996</v>
      </c>
      <c r="E10" s="188">
        <v>3.6</v>
      </c>
      <c r="F10" s="188">
        <v>3.7</v>
      </c>
      <c r="G10" s="188">
        <v>3.5</v>
      </c>
      <c r="H10" s="187">
        <v>3.6</v>
      </c>
      <c r="I10" s="187">
        <v>3.5</v>
      </c>
      <c r="J10" s="187">
        <v>3.3</v>
      </c>
      <c r="K10" s="187">
        <v>3.1</v>
      </c>
      <c r="L10" s="187">
        <v>2.9</v>
      </c>
      <c r="M10" s="187">
        <v>3.1</v>
      </c>
      <c r="N10" s="187">
        <v>3.6</v>
      </c>
      <c r="O10" s="307">
        <v>3.2</v>
      </c>
      <c r="P10" s="380">
        <f>$O$10+(1/8)*($W$10-$O$10)</f>
        <v>3.1750000000000003</v>
      </c>
      <c r="Q10" s="187"/>
      <c r="R10" s="187"/>
      <c r="S10" s="188"/>
      <c r="T10" s="188"/>
      <c r="U10" s="188"/>
      <c r="V10" s="188"/>
      <c r="W10" s="188">
        <v>3</v>
      </c>
      <c r="X10" s="107">
        <f>W10*(1+'Hypothèses conso'!$B$5)</f>
        <v>3.1500000000000004</v>
      </c>
      <c r="Y10" s="9" t="s">
        <v>106</v>
      </c>
      <c r="Z10" s="527">
        <f t="shared" si="0"/>
        <v>-3.2258064516129115E-2</v>
      </c>
      <c r="AA10" s="453"/>
      <c r="AB10" s="387" t="s">
        <v>285</v>
      </c>
      <c r="AC10" s="158">
        <f>M22+M23</f>
        <v>60.099999999999994</v>
      </c>
      <c r="AD10" s="59">
        <f>W22+W23</f>
        <v>58</v>
      </c>
      <c r="AE10" s="59">
        <f>X22+X23</f>
        <v>55.099999999999994</v>
      </c>
      <c r="AF10" s="285">
        <f t="shared" si="1"/>
        <v>-8.3194675540765428E-2</v>
      </c>
      <c r="AG10" s="116">
        <f>46/51-1</f>
        <v>-9.8039215686274495E-2</v>
      </c>
      <c r="AK10" s="1"/>
      <c r="AL10" s="1"/>
      <c r="AM10" s="1"/>
      <c r="AR10"/>
      <c r="AS10" s="1"/>
    </row>
    <row r="11" spans="1:45" x14ac:dyDescent="0.3">
      <c r="A11" t="s">
        <v>281</v>
      </c>
      <c r="B11" s="9" t="s">
        <v>107</v>
      </c>
      <c r="C11" s="188">
        <v>49.3</v>
      </c>
      <c r="D11" s="188">
        <v>47.3</v>
      </c>
      <c r="E11" s="188">
        <v>47.6</v>
      </c>
      <c r="F11" s="188">
        <v>47.6</v>
      </c>
      <c r="G11" s="188">
        <v>47.6</v>
      </c>
      <c r="H11" s="187">
        <v>47.6</v>
      </c>
      <c r="I11" s="187">
        <v>47.6</v>
      </c>
      <c r="J11" s="187">
        <v>47.6</v>
      </c>
      <c r="K11" s="187">
        <v>47.6</v>
      </c>
      <c r="L11" s="187">
        <v>47.6</v>
      </c>
      <c r="M11" s="187">
        <v>47.6</v>
      </c>
      <c r="N11" s="187">
        <v>47.6</v>
      </c>
      <c r="O11" s="307">
        <v>47.5</v>
      </c>
      <c r="P11" s="380">
        <f>$O$11+(1/8)*($W$11-$O$11)</f>
        <v>47.5</v>
      </c>
      <c r="Q11" s="187"/>
      <c r="R11" s="187"/>
      <c r="S11" s="188"/>
      <c r="T11" s="188"/>
      <c r="U11" s="188"/>
      <c r="V11" s="188"/>
      <c r="W11" s="188">
        <v>47.5</v>
      </c>
      <c r="X11" s="107">
        <f>W11*(1+'Hypothèses conso'!$B$6)</f>
        <v>47.5</v>
      </c>
      <c r="Y11" s="9" t="s">
        <v>107</v>
      </c>
      <c r="Z11" s="527">
        <f t="shared" si="0"/>
        <v>-2.1008403361344463E-3</v>
      </c>
      <c r="AA11" s="453"/>
      <c r="AB11" s="387" t="s">
        <v>19</v>
      </c>
      <c r="AC11" s="158">
        <f>M25</f>
        <v>14.1</v>
      </c>
      <c r="AD11" s="59">
        <f>W25</f>
        <v>15</v>
      </c>
      <c r="AE11" s="59">
        <f>X25</f>
        <v>14.7</v>
      </c>
      <c r="AF11" s="285">
        <f t="shared" si="1"/>
        <v>4.2553191489361764E-2</v>
      </c>
      <c r="AG11" s="116">
        <v>0.08</v>
      </c>
      <c r="AK11" s="1"/>
      <c r="AL11" s="1"/>
      <c r="AM11" s="1"/>
      <c r="AR11"/>
      <c r="AS11" s="1"/>
    </row>
    <row r="12" spans="1:45" x14ac:dyDescent="0.3">
      <c r="A12" t="s">
        <v>282</v>
      </c>
      <c r="B12" s="9" t="s">
        <v>23</v>
      </c>
      <c r="C12" s="107">
        <f>'calcul conso'!C63</f>
        <v>4.0122848261461934</v>
      </c>
      <c r="D12" s="107">
        <f>'calcul conso'!D63</f>
        <v>4.1635701241775385</v>
      </c>
      <c r="E12" s="107">
        <f>'calcul conso'!E63</f>
        <v>4.1245837479949614</v>
      </c>
      <c r="F12" s="107">
        <f>'calcul conso'!F63</f>
        <v>4.0303297449608406</v>
      </c>
      <c r="G12" s="107">
        <f>'calcul conso'!G63</f>
        <v>4.2169437919603805</v>
      </c>
      <c r="H12" s="107">
        <f>'calcul conso'!H63</f>
        <v>4.0368924682936784</v>
      </c>
      <c r="I12" s="107">
        <f>'calcul conso'!I63</f>
        <v>4.5965340873767264</v>
      </c>
      <c r="J12" s="107">
        <f>'calcul conso'!J63</f>
        <v>4.2927865384580572</v>
      </c>
      <c r="K12" s="107">
        <f>'calcul conso'!K63</f>
        <v>4.3623594872725153</v>
      </c>
      <c r="L12" s="107">
        <f>'calcul conso'!L63</f>
        <v>4.6004803187771168</v>
      </c>
      <c r="M12" s="107">
        <f>'calcul conso'!M63</f>
        <v>4.9650574603740072</v>
      </c>
      <c r="N12" s="107">
        <f>'calcul conso'!N63</f>
        <v>4.678681069245588</v>
      </c>
      <c r="O12" s="107">
        <f>'calcul conso'!O63</f>
        <v>3.94439710603924</v>
      </c>
      <c r="P12" s="380">
        <f>$O$12+(1/8)*($W$12-$O$12)</f>
        <v>3.9888474677843351</v>
      </c>
      <c r="Q12" s="187"/>
      <c r="R12" s="187"/>
      <c r="S12" s="188"/>
      <c r="T12" s="188"/>
      <c r="U12" s="188"/>
      <c r="V12" s="188"/>
      <c r="W12" s="188">
        <v>4.3</v>
      </c>
      <c r="X12" s="107">
        <f>W12*(1+'Hypothèses conso'!$B$5)</f>
        <v>4.5149999999999997</v>
      </c>
      <c r="Y12" s="9" t="s">
        <v>23</v>
      </c>
      <c r="Z12" s="527">
        <f t="shared" si="0"/>
        <v>-0.13394758584000555</v>
      </c>
      <c r="AA12" s="453"/>
      <c r="AB12" s="387" t="s">
        <v>116</v>
      </c>
      <c r="AC12" s="158">
        <f>AVERAGE(L26:O26)</f>
        <v>363.08500000000004</v>
      </c>
      <c r="AD12" s="166">
        <f>W26</f>
        <v>360</v>
      </c>
      <c r="AE12" s="166">
        <f>X26</f>
        <v>324</v>
      </c>
      <c r="AF12" s="285">
        <f t="shared" si="1"/>
        <v>-0.10764696971783472</v>
      </c>
      <c r="AG12" s="116">
        <f>145/143-1</f>
        <v>1.3986013986013957E-2</v>
      </c>
      <c r="AK12" s="1"/>
      <c r="AL12" s="1"/>
      <c r="AM12" s="1"/>
      <c r="AR12"/>
      <c r="AS12" s="1"/>
    </row>
    <row r="13" spans="1:45" x14ac:dyDescent="0.3">
      <c r="A13" t="s">
        <v>282</v>
      </c>
      <c r="B13" s="9" t="s">
        <v>21</v>
      </c>
      <c r="C13" s="107">
        <f>'calcul conso'!C72</f>
        <v>7.1550309657886242</v>
      </c>
      <c r="D13" s="107">
        <f>'calcul conso'!D72</f>
        <v>6.918433804642004</v>
      </c>
      <c r="E13" s="107">
        <f>'calcul conso'!E72</f>
        <v>7.7285127513075897</v>
      </c>
      <c r="F13" s="107">
        <f>'calcul conso'!F72</f>
        <v>7.2365408165564098</v>
      </c>
      <c r="G13" s="107">
        <f>'calcul conso'!G72</f>
        <v>6.9261540403959154</v>
      </c>
      <c r="H13" s="107">
        <f>'calcul conso'!H72</f>
        <v>7.1186758253055578</v>
      </c>
      <c r="I13" s="107">
        <f>'calcul conso'!I72</f>
        <v>6.9837511458257202</v>
      </c>
      <c r="J13" s="107">
        <f>'calcul conso'!J72</f>
        <v>6.418347226284733</v>
      </c>
      <c r="K13" s="107">
        <f>'calcul conso'!K72</f>
        <v>6.3184437452591053</v>
      </c>
      <c r="L13" s="107">
        <f>'calcul conso'!L72</f>
        <v>6.2239096109963556</v>
      </c>
      <c r="M13" s="107">
        <f>'calcul conso'!M72</f>
        <v>6.0345228314128292</v>
      </c>
      <c r="N13" s="107">
        <f>'calcul conso'!N72</f>
        <v>5.92703057083411</v>
      </c>
      <c r="O13" s="107">
        <f>'calcul conso'!O72</f>
        <v>6.3541321604384393</v>
      </c>
      <c r="P13" s="380">
        <f>$O$13+(1/8)*($W$13-$O$13)</f>
        <v>6.3098656403836344</v>
      </c>
      <c r="Q13" s="187"/>
      <c r="R13" s="187"/>
      <c r="S13" s="188"/>
      <c r="T13" s="188"/>
      <c r="U13" s="188"/>
      <c r="V13" s="188"/>
      <c r="W13" s="188">
        <v>6</v>
      </c>
      <c r="X13" s="107">
        <f>W13*(1+'Hypothèses conso'!$B$5)</f>
        <v>6.3000000000000007</v>
      </c>
      <c r="Y13" s="9" t="s">
        <v>21</v>
      </c>
      <c r="Z13" s="527">
        <f t="shared" si="0"/>
        <v>-5.7208883580852632E-3</v>
      </c>
      <c r="AA13" s="453"/>
      <c r="AB13" s="285"/>
      <c r="AC13" s="285"/>
      <c r="AD13" s="158"/>
      <c r="AK13" s="1"/>
      <c r="AL13" s="1"/>
      <c r="AM13" s="1"/>
      <c r="AR13"/>
      <c r="AS13" s="1"/>
    </row>
    <row r="14" spans="1:45" x14ac:dyDescent="0.3">
      <c r="A14" t="s">
        <v>281</v>
      </c>
      <c r="B14" s="9" t="s">
        <v>12</v>
      </c>
      <c r="C14" s="188">
        <v>26.3</v>
      </c>
      <c r="D14" s="188">
        <v>28.4</v>
      </c>
      <c r="E14" s="188">
        <v>26.6</v>
      </c>
      <c r="F14" s="188">
        <v>26.8</v>
      </c>
      <c r="G14" s="188">
        <v>26.6</v>
      </c>
      <c r="H14" s="187">
        <v>26.5</v>
      </c>
      <c r="I14" s="187">
        <v>27.9</v>
      </c>
      <c r="J14" s="187">
        <v>27.2</v>
      </c>
      <c r="K14" s="187">
        <v>25.7</v>
      </c>
      <c r="L14" s="187">
        <v>25</v>
      </c>
      <c r="M14" s="187">
        <v>27</v>
      </c>
      <c r="N14" s="187">
        <v>26.9</v>
      </c>
      <c r="O14" s="307">
        <v>26.8</v>
      </c>
      <c r="P14" s="380">
        <f>$O$14+(1/8)*($W$14-$O$14)</f>
        <v>26.7</v>
      </c>
      <c r="Q14" s="187"/>
      <c r="R14" s="187"/>
      <c r="S14" s="188"/>
      <c r="T14" s="188"/>
      <c r="U14" s="188"/>
      <c r="V14" s="188"/>
      <c r="W14" s="188">
        <v>26</v>
      </c>
      <c r="X14" s="107">
        <f>W14*(1+'Hypothèses conso'!$B$5)</f>
        <v>27.3</v>
      </c>
      <c r="Y14" s="9" t="s">
        <v>12</v>
      </c>
      <c r="Z14" s="527">
        <f t="shared" si="0"/>
        <v>-3.703703703703709E-2</v>
      </c>
      <c r="AA14" s="453"/>
      <c r="AB14" s="528" t="s">
        <v>579</v>
      </c>
      <c r="AC14" s="528"/>
      <c r="AD14" s="158"/>
      <c r="AK14" s="1"/>
      <c r="AL14" s="1"/>
      <c r="AM14" s="1"/>
      <c r="AR14"/>
      <c r="AS14" s="1"/>
    </row>
    <row r="15" spans="1:45" x14ac:dyDescent="0.3">
      <c r="A15" t="s">
        <v>282</v>
      </c>
      <c r="B15" s="9" t="s">
        <v>20</v>
      </c>
      <c r="C15" s="107">
        <f>'calcul conso'!C76</f>
        <v>2.961843447252289</v>
      </c>
      <c r="D15" s="107">
        <f>'calcul conso'!D76</f>
        <v>2.7464889045158847</v>
      </c>
      <c r="E15" s="107">
        <f>'calcul conso'!E76</f>
        <v>2.6065872821104388</v>
      </c>
      <c r="F15" s="107">
        <f>'calcul conso'!F76</f>
        <v>2.8657318420326963</v>
      </c>
      <c r="G15" s="107">
        <f>'calcul conso'!G76</f>
        <v>2.8227356555709617</v>
      </c>
      <c r="H15" s="107">
        <f>'calcul conso'!H76</f>
        <v>2.6308870924058652</v>
      </c>
      <c r="I15" s="107">
        <f>'calcul conso'!I76</f>
        <v>2.5936580291437754</v>
      </c>
      <c r="J15" s="107">
        <f>'calcul conso'!J76</f>
        <v>2.7068107488384783</v>
      </c>
      <c r="K15" s="107">
        <f>'calcul conso'!K76</f>
        <v>2.6412683096828165</v>
      </c>
      <c r="L15" s="107">
        <f>'calcul conso'!L76</f>
        <v>2.5767423660726134</v>
      </c>
      <c r="M15" s="107">
        <f>'calcul conso'!M76</f>
        <v>2.7287667923503345</v>
      </c>
      <c r="N15" s="107">
        <f>'calcul conso'!N76</f>
        <v>2.9686950258447369</v>
      </c>
      <c r="O15" s="107">
        <f>'calcul conso'!O76</f>
        <v>2.439670312898008</v>
      </c>
      <c r="P15" s="380">
        <f>$O$15+(1/8)*($W$15-$O$15)</f>
        <v>2.4472115237857568</v>
      </c>
      <c r="Q15" s="187"/>
      <c r="R15" s="187"/>
      <c r="S15" s="188"/>
      <c r="T15" s="188"/>
      <c r="U15" s="188"/>
      <c r="V15" s="188"/>
      <c r="W15" s="188">
        <v>2.5</v>
      </c>
      <c r="X15" s="107">
        <f>W15*(1+'Hypothèses conso'!$B$5)</f>
        <v>2.625</v>
      </c>
      <c r="Y15" s="9" t="s">
        <v>20</v>
      </c>
      <c r="Z15" s="527">
        <f t="shared" si="0"/>
        <v>-8.383523025553008E-2</v>
      </c>
      <c r="AA15" s="453"/>
      <c r="AB15" s="394" t="s">
        <v>56</v>
      </c>
      <c r="AC15" s="528" t="s">
        <v>576</v>
      </c>
      <c r="AD15" s="158"/>
      <c r="AK15" s="1"/>
      <c r="AL15" s="1"/>
      <c r="AM15" s="1"/>
      <c r="AR15"/>
      <c r="AS15" s="1"/>
    </row>
    <row r="16" spans="1:45" x14ac:dyDescent="0.3">
      <c r="A16" t="s">
        <v>282</v>
      </c>
      <c r="B16" s="9" t="s">
        <v>135</v>
      </c>
      <c r="C16" s="107">
        <f>'calcul conso'!C80</f>
        <v>10.524295814394705</v>
      </c>
      <c r="D16" s="107">
        <f>'calcul conso'!D80</f>
        <v>10.038470695514201</v>
      </c>
      <c r="E16" s="107">
        <f>'calcul conso'!E80</f>
        <v>9.2499253384220346</v>
      </c>
      <c r="F16" s="107">
        <f>'calcul conso'!F80</f>
        <v>9.4780696338880421</v>
      </c>
      <c r="G16" s="107">
        <f>'calcul conso'!G80</f>
        <v>9.6024770928974501</v>
      </c>
      <c r="H16" s="107">
        <f>'calcul conso'!H80</f>
        <v>9.5050948105312685</v>
      </c>
      <c r="I16" s="107">
        <f>'calcul conso'!I80</f>
        <v>9.4341026275162729</v>
      </c>
      <c r="J16" s="107">
        <f>'calcul conso'!J80</f>
        <v>10.443820463990443</v>
      </c>
      <c r="K16" s="107">
        <f>'calcul conso'!K80</f>
        <v>10.186572745308871</v>
      </c>
      <c r="L16" s="107">
        <f>'calcul conso'!L80</f>
        <v>10.623501308083377</v>
      </c>
      <c r="M16" s="107">
        <f>'calcul conso'!M80</f>
        <v>11.231241023899283</v>
      </c>
      <c r="N16" s="107">
        <f>'calcul conso'!N80</f>
        <v>12.18154958140507</v>
      </c>
      <c r="O16" s="107">
        <f>'calcul conso'!O80</f>
        <v>10.520391618425846</v>
      </c>
      <c r="P16" s="380">
        <f>$O$16+(1/8)*($W$16-$O$16)</f>
        <v>10.630342666122615</v>
      </c>
      <c r="Q16" s="187"/>
      <c r="R16" s="187"/>
      <c r="S16" s="188"/>
      <c r="T16" s="188"/>
      <c r="U16" s="188"/>
      <c r="V16" s="188"/>
      <c r="W16" s="188">
        <v>11.4</v>
      </c>
      <c r="X16" s="107">
        <f>W16*(1+'Hypothèses conso'!$B$5)</f>
        <v>11.97</v>
      </c>
      <c r="Y16" s="9" t="s">
        <v>135</v>
      </c>
      <c r="Z16" s="527">
        <f t="shared" si="0"/>
        <v>1.5025852952635477E-2</v>
      </c>
      <c r="AA16" s="453"/>
      <c r="AB16" s="383" t="s">
        <v>532</v>
      </c>
      <c r="AC16" s="528" t="s">
        <v>576</v>
      </c>
      <c r="AD16" s="158"/>
      <c r="AK16" s="1"/>
      <c r="AL16" s="1"/>
      <c r="AM16" s="1"/>
      <c r="AR16"/>
      <c r="AS16" s="1"/>
    </row>
    <row r="17" spans="1:45" x14ac:dyDescent="0.3">
      <c r="A17" t="s">
        <v>282</v>
      </c>
      <c r="B17" s="9" t="s">
        <v>24</v>
      </c>
      <c r="C17" s="107">
        <f>'calcul conso'!C51</f>
        <v>1.6987397561723463</v>
      </c>
      <c r="D17" s="107">
        <f>'calcul conso'!D51</f>
        <v>1.7577706568399245</v>
      </c>
      <c r="E17" s="107">
        <f>'calcul conso'!E51</f>
        <v>2.0688629764741591</v>
      </c>
      <c r="F17" s="107">
        <f>'calcul conso'!F51</f>
        <v>1.5985936106335745</v>
      </c>
      <c r="G17" s="107">
        <f>'calcul conso'!G51</f>
        <v>1.9423327540759616</v>
      </c>
      <c r="H17" s="107">
        <f>'calcul conso'!H51</f>
        <v>1.9116583285927249</v>
      </c>
      <c r="I17" s="107">
        <f>'calcul conso'!I51</f>
        <v>1.3676120998203285</v>
      </c>
      <c r="J17" s="107">
        <f>'calcul conso'!J51</f>
        <v>1.8402010435381304</v>
      </c>
      <c r="K17" s="107">
        <f>'calcul conso'!K51</f>
        <v>1.6299787133857813</v>
      </c>
      <c r="L17" s="107">
        <f>'calcul conso'!L51</f>
        <v>2.0311085183215241</v>
      </c>
      <c r="M17" s="107">
        <f>'calcul conso'!M51</f>
        <v>1.4645570555426535</v>
      </c>
      <c r="N17" s="107">
        <f>'calcul conso'!N51</f>
        <v>0.90570196298728167</v>
      </c>
      <c r="O17" s="107">
        <f>'calcul conso'!O51</f>
        <v>1.9072307951980221</v>
      </c>
      <c r="P17" s="380">
        <f>$O$17+(1/8)*($W$17-$O$17)</f>
        <v>1.8688269457982694</v>
      </c>
      <c r="Q17" s="187"/>
      <c r="R17" s="187"/>
      <c r="S17" s="188"/>
      <c r="T17" s="188"/>
      <c r="U17" s="188"/>
      <c r="V17" s="188"/>
      <c r="W17" s="188">
        <v>1.6</v>
      </c>
      <c r="X17" s="107">
        <f>W17*(1+'Hypothèses conso'!$B$7)</f>
        <v>1.6800000000000002</v>
      </c>
      <c r="Y17" s="9" t="s">
        <v>24</v>
      </c>
      <c r="Z17" s="527">
        <f t="shared" si="0"/>
        <v>9.2480483395822155E-2</v>
      </c>
      <c r="AA17" s="453"/>
      <c r="AB17" s="384" t="s">
        <v>113</v>
      </c>
      <c r="AC17" s="528" t="s">
        <v>578</v>
      </c>
      <c r="AD17" s="158"/>
      <c r="AK17" s="1"/>
      <c r="AL17" s="1"/>
      <c r="AM17" s="1"/>
      <c r="AR17"/>
      <c r="AS17" s="1"/>
    </row>
    <row r="18" spans="1:45" x14ac:dyDescent="0.3">
      <c r="A18" t="s">
        <v>281</v>
      </c>
      <c r="B18" s="9" t="s">
        <v>8</v>
      </c>
      <c r="C18" s="188">
        <v>6.1</v>
      </c>
      <c r="D18" s="188">
        <v>5.6</v>
      </c>
      <c r="E18" s="188">
        <v>5.3</v>
      </c>
      <c r="F18" s="188">
        <v>5.0999999999999996</v>
      </c>
      <c r="G18" s="188">
        <v>5</v>
      </c>
      <c r="H18" s="187">
        <v>5.0999999999999996</v>
      </c>
      <c r="I18" s="187">
        <v>5</v>
      </c>
      <c r="J18" s="187">
        <v>5.2</v>
      </c>
      <c r="K18" s="187">
        <v>4.7</v>
      </c>
      <c r="L18" s="187">
        <v>4.9000000000000004</v>
      </c>
      <c r="M18" s="187">
        <v>4.2</v>
      </c>
      <c r="N18" s="187">
        <v>4.2</v>
      </c>
      <c r="O18" s="307">
        <v>4.0999999999999996</v>
      </c>
      <c r="P18" s="380">
        <f>$O$18+(1/8)*($W$18-$O$18)</f>
        <v>4.1124999999999998</v>
      </c>
      <c r="Q18" s="187"/>
      <c r="R18" s="187"/>
      <c r="S18" s="188"/>
      <c r="T18" s="188"/>
      <c r="U18" s="188"/>
      <c r="V18" s="188"/>
      <c r="W18" s="188">
        <v>4.2</v>
      </c>
      <c r="X18" s="107">
        <f>W18*(1+'Hypothèses conso'!$B$7)</f>
        <v>4.41</v>
      </c>
      <c r="Y18" s="9" t="s">
        <v>8</v>
      </c>
      <c r="Z18" s="527">
        <f t="shared" si="0"/>
        <v>0</v>
      </c>
      <c r="AA18" s="453"/>
      <c r="AB18" s="385" t="s">
        <v>525</v>
      </c>
      <c r="AC18" s="528" t="s">
        <v>583</v>
      </c>
      <c r="AK18" s="1"/>
      <c r="AL18" s="1"/>
      <c r="AM18" s="1"/>
      <c r="AR18"/>
      <c r="AS18" s="1"/>
    </row>
    <row r="19" spans="1:45" x14ac:dyDescent="0.3">
      <c r="A19" t="s">
        <v>281</v>
      </c>
      <c r="B19" s="9" t="s">
        <v>7</v>
      </c>
      <c r="C19" s="188">
        <v>22</v>
      </c>
      <c r="D19" s="188">
        <v>22.1</v>
      </c>
      <c r="E19" s="188">
        <v>21.6</v>
      </c>
      <c r="F19" s="188">
        <v>21.7</v>
      </c>
      <c r="G19" s="188">
        <v>21.1</v>
      </c>
      <c r="H19" s="187">
        <v>23.1</v>
      </c>
      <c r="I19" s="187">
        <v>25.7</v>
      </c>
      <c r="J19" s="187">
        <v>23.8</v>
      </c>
      <c r="K19" s="187">
        <v>24.5</v>
      </c>
      <c r="L19" s="187">
        <v>23.1</v>
      </c>
      <c r="M19" s="187">
        <v>23.7</v>
      </c>
      <c r="N19" s="187">
        <v>21.4</v>
      </c>
      <c r="O19" s="307">
        <v>22.5</v>
      </c>
      <c r="P19" s="380">
        <f>$O$19+(1/8)*($W$19-$O$19)</f>
        <v>22.5625</v>
      </c>
      <c r="Q19" s="187"/>
      <c r="R19" s="187"/>
      <c r="S19" s="188"/>
      <c r="T19" s="188"/>
      <c r="U19" s="188"/>
      <c r="V19" s="188"/>
      <c r="W19" s="188">
        <v>23</v>
      </c>
      <c r="X19" s="107">
        <f>W19*(1+'Hypothèses conso'!$B$7)</f>
        <v>24.150000000000002</v>
      </c>
      <c r="Y19" s="9" t="s">
        <v>7</v>
      </c>
      <c r="Z19" s="527">
        <f t="shared" si="0"/>
        <v>-2.9535864978902926E-2</v>
      </c>
      <c r="AA19" s="453"/>
      <c r="AB19" s="385" t="s">
        <v>107</v>
      </c>
      <c r="AC19" s="528" t="s">
        <v>576</v>
      </c>
      <c r="AK19" s="1"/>
      <c r="AL19" s="1"/>
      <c r="AM19" s="1"/>
      <c r="AR19"/>
      <c r="AS19" s="1"/>
    </row>
    <row r="20" spans="1:45" x14ac:dyDescent="0.3">
      <c r="A20" t="s">
        <v>281</v>
      </c>
      <c r="B20" s="9" t="s">
        <v>9</v>
      </c>
      <c r="C20" s="188">
        <v>4.9000000000000004</v>
      </c>
      <c r="D20" s="188">
        <v>4.2</v>
      </c>
      <c r="E20" s="188">
        <v>3.6</v>
      </c>
      <c r="F20" s="188">
        <v>3.6</v>
      </c>
      <c r="G20" s="188">
        <v>3.6</v>
      </c>
      <c r="H20" s="187">
        <v>3.4</v>
      </c>
      <c r="I20" s="187">
        <v>3.3</v>
      </c>
      <c r="J20" s="187">
        <v>2.9</v>
      </c>
      <c r="K20" s="187">
        <v>2.7</v>
      </c>
      <c r="L20" s="187">
        <v>2.6</v>
      </c>
      <c r="M20" s="187">
        <v>2.7</v>
      </c>
      <c r="N20" s="187">
        <v>2.7</v>
      </c>
      <c r="O20" s="307">
        <v>2.7</v>
      </c>
      <c r="P20" s="380">
        <f>$O$20+(1/8)*($W$20-$O$20)</f>
        <v>2.7375000000000003</v>
      </c>
      <c r="Q20" s="187"/>
      <c r="R20" s="187"/>
      <c r="S20" s="188"/>
      <c r="T20" s="188"/>
      <c r="U20" s="188"/>
      <c r="V20" s="188"/>
      <c r="W20" s="188">
        <v>3</v>
      </c>
      <c r="X20" s="107">
        <f>W20*(1+'Hypothèses conso'!$B$7)</f>
        <v>3.1500000000000004</v>
      </c>
      <c r="Y20" s="9" t="s">
        <v>9</v>
      </c>
      <c r="Z20" s="527">
        <f t="shared" si="0"/>
        <v>0.11111111111111094</v>
      </c>
      <c r="AA20" s="453"/>
      <c r="AB20" s="386" t="s">
        <v>89</v>
      </c>
      <c r="AC20" s="528" t="s">
        <v>582</v>
      </c>
      <c r="AK20" s="1"/>
      <c r="AL20" s="1"/>
      <c r="AM20" s="1"/>
      <c r="AR20"/>
      <c r="AS20" s="1"/>
    </row>
    <row r="21" spans="1:45" x14ac:dyDescent="0.3">
      <c r="A21" t="s">
        <v>281</v>
      </c>
      <c r="B21" s="9" t="s">
        <v>108</v>
      </c>
      <c r="C21" s="188">
        <v>25.347511774425175</v>
      </c>
      <c r="D21" s="188">
        <v>24.848940821218921</v>
      </c>
      <c r="E21" s="188">
        <v>24.379226851426996</v>
      </c>
      <c r="F21" s="188">
        <v>23.555226102969154</v>
      </c>
      <c r="G21" s="188">
        <v>23.891552967691318</v>
      </c>
      <c r="H21" s="187">
        <v>23.504527680437956</v>
      </c>
      <c r="I21" s="187">
        <v>23.291689759126498</v>
      </c>
      <c r="J21" s="187">
        <v>22.882608381978745</v>
      </c>
      <c r="K21" s="187">
        <v>23.3</v>
      </c>
      <c r="L21" s="187">
        <v>23</v>
      </c>
      <c r="M21" s="187">
        <v>22.2</v>
      </c>
      <c r="N21" s="187">
        <v>22.2</v>
      </c>
      <c r="O21" s="187">
        <v>22.1</v>
      </c>
      <c r="P21" s="307">
        <v>21.3</v>
      </c>
      <c r="Q21" s="187"/>
      <c r="R21" s="187"/>
      <c r="S21" s="188"/>
      <c r="T21" s="188"/>
      <c r="U21" s="188"/>
      <c r="V21" s="188"/>
      <c r="W21" s="188">
        <v>20</v>
      </c>
      <c r="X21" s="107">
        <f>W21*(1+'Hypothèses conso'!$B$8)</f>
        <v>18</v>
      </c>
      <c r="Y21" s="9" t="s">
        <v>108</v>
      </c>
      <c r="Z21" s="527">
        <f t="shared" si="0"/>
        <v>-9.9099099099099086E-2</v>
      </c>
      <c r="AA21" s="453"/>
      <c r="AB21" s="387" t="s">
        <v>284</v>
      </c>
      <c r="AC21" s="528" t="s">
        <v>580</v>
      </c>
      <c r="AK21" s="1"/>
      <c r="AL21" s="1"/>
      <c r="AM21" s="1"/>
      <c r="AR21"/>
      <c r="AS21" s="1"/>
    </row>
    <row r="22" spans="1:45" x14ac:dyDescent="0.3">
      <c r="A22" t="s">
        <v>281</v>
      </c>
      <c r="B22" s="9" t="s">
        <v>109</v>
      </c>
      <c r="C22" s="188">
        <v>33.083796105560623</v>
      </c>
      <c r="D22" s="188">
        <v>32.32788259519932</v>
      </c>
      <c r="E22" s="188">
        <v>32.277756859686157</v>
      </c>
      <c r="F22" s="188">
        <v>32.020096090337681</v>
      </c>
      <c r="G22" s="188">
        <v>32.700080583095684</v>
      </c>
      <c r="H22" s="187">
        <v>33.202226948007997</v>
      </c>
      <c r="I22" s="187">
        <v>32.718881528031908</v>
      </c>
      <c r="J22" s="187">
        <v>32.624278581050753</v>
      </c>
      <c r="K22" s="187">
        <v>32.908807690008665</v>
      </c>
      <c r="L22" s="187">
        <v>31.9</v>
      </c>
      <c r="M22" s="187">
        <v>31.7</v>
      </c>
      <c r="N22" s="187">
        <v>31.7</v>
      </c>
      <c r="O22" s="187">
        <v>32.1</v>
      </c>
      <c r="P22" s="307">
        <v>30.6</v>
      </c>
      <c r="Q22" s="187"/>
      <c r="R22" s="187"/>
      <c r="S22" s="188"/>
      <c r="T22" s="188"/>
      <c r="U22" s="188"/>
      <c r="V22" s="188"/>
      <c r="W22" s="188">
        <v>30</v>
      </c>
      <c r="X22" s="107">
        <f>W22*(1+'Hypothèses conso'!$B$9)</f>
        <v>28.5</v>
      </c>
      <c r="Y22" s="9" t="s">
        <v>109</v>
      </c>
      <c r="Z22" s="527">
        <f t="shared" si="0"/>
        <v>-5.362776025236593E-2</v>
      </c>
      <c r="AA22" s="453"/>
      <c r="AB22" s="387" t="s">
        <v>285</v>
      </c>
      <c r="AC22" s="528" t="s">
        <v>581</v>
      </c>
      <c r="AK22" s="1"/>
      <c r="AL22" s="1"/>
      <c r="AM22" s="1"/>
      <c r="AR22"/>
      <c r="AS22" s="1"/>
    </row>
    <row r="23" spans="1:45" x14ac:dyDescent="0.3">
      <c r="A23" t="s">
        <v>281</v>
      </c>
      <c r="B23" s="9" t="s">
        <v>110</v>
      </c>
      <c r="C23" s="188">
        <v>23.830904600132801</v>
      </c>
      <c r="D23" s="188">
        <v>22.926894486087189</v>
      </c>
      <c r="E23" s="188">
        <v>23.830904600132811</v>
      </c>
      <c r="F23" s="188">
        <v>24.064796374925809</v>
      </c>
      <c r="G23" s="188">
        <v>24.693539695474367</v>
      </c>
      <c r="H23" s="187">
        <v>25.493241536448537</v>
      </c>
      <c r="I23" s="187">
        <v>25.825893721690601</v>
      </c>
      <c r="J23" s="187">
        <v>26.256204250860648</v>
      </c>
      <c r="K23" s="187">
        <v>28</v>
      </c>
      <c r="L23" s="187">
        <v>28.4</v>
      </c>
      <c r="M23" s="187">
        <v>28.4</v>
      </c>
      <c r="N23" s="187">
        <v>28.3</v>
      </c>
      <c r="O23" s="187">
        <v>27.9</v>
      </c>
      <c r="P23" s="307">
        <v>29</v>
      </c>
      <c r="Q23" s="187"/>
      <c r="R23" s="187"/>
      <c r="S23" s="188"/>
      <c r="T23" s="188"/>
      <c r="U23" s="188"/>
      <c r="V23" s="188"/>
      <c r="W23" s="188">
        <v>28</v>
      </c>
      <c r="X23" s="107">
        <f>W23*(1+'Hypothèses conso'!$B$9)</f>
        <v>26.599999999999998</v>
      </c>
      <c r="Y23" s="9" t="s">
        <v>110</v>
      </c>
      <c r="Z23" s="527">
        <f t="shared" si="0"/>
        <v>-1.4084507042253502E-2</v>
      </c>
      <c r="AA23" s="453"/>
      <c r="AB23" s="387" t="s">
        <v>19</v>
      </c>
      <c r="AC23" s="528" t="s">
        <v>584</v>
      </c>
      <c r="AK23" s="1"/>
      <c r="AL23" s="1"/>
      <c r="AM23" s="1"/>
      <c r="AR23"/>
      <c r="AS23" s="1"/>
    </row>
    <row r="24" spans="1:45" x14ac:dyDescent="0.3">
      <c r="A24" t="s">
        <v>281</v>
      </c>
      <c r="B24" s="9" t="s">
        <v>111</v>
      </c>
      <c r="C24" s="188">
        <v>3.0197402368782718</v>
      </c>
      <c r="D24" s="188">
        <v>2.914114208439623</v>
      </c>
      <c r="E24" s="188">
        <v>2.8286457893609862</v>
      </c>
      <c r="F24" s="188">
        <v>2.7220656074510337</v>
      </c>
      <c r="G24" s="188">
        <v>2.7036986735479198</v>
      </c>
      <c r="H24" s="187">
        <v>2.5722331142560653</v>
      </c>
      <c r="I24" s="187">
        <v>2.4952831088580254</v>
      </c>
      <c r="J24" s="187">
        <v>2.4574457715910807</v>
      </c>
      <c r="K24" s="187">
        <v>2.5</v>
      </c>
      <c r="L24" s="187">
        <v>2.5</v>
      </c>
      <c r="M24" s="187">
        <v>2.2999999999999998</v>
      </c>
      <c r="N24" s="187">
        <v>2.27</v>
      </c>
      <c r="O24" s="187">
        <v>2.2000000000000002</v>
      </c>
      <c r="P24" s="307">
        <v>2.2000000000000002</v>
      </c>
      <c r="Q24" s="187"/>
      <c r="R24" s="187"/>
      <c r="S24" s="188"/>
      <c r="T24" s="188"/>
      <c r="U24" s="188"/>
      <c r="V24" s="188"/>
      <c r="W24" s="188">
        <v>2</v>
      </c>
      <c r="X24" s="107">
        <f>W24*(1+'Hypothèses conso'!$B$8)</f>
        <v>1.8</v>
      </c>
      <c r="Y24" s="9" t="s">
        <v>111</v>
      </c>
      <c r="Z24" s="527">
        <f t="shared" si="0"/>
        <v>-0.13043478260869557</v>
      </c>
      <c r="AA24" s="453"/>
      <c r="AB24" s="387" t="s">
        <v>116</v>
      </c>
      <c r="AC24" s="528" t="s">
        <v>585</v>
      </c>
      <c r="AK24" s="1"/>
      <c r="AL24" s="1"/>
      <c r="AM24" s="1"/>
      <c r="AR24"/>
      <c r="AS24" s="1"/>
    </row>
    <row r="25" spans="1:45" x14ac:dyDescent="0.3">
      <c r="A25" t="s">
        <v>281</v>
      </c>
      <c r="B25" s="9" t="s">
        <v>44</v>
      </c>
      <c r="C25" s="188">
        <v>13.524617785779524</v>
      </c>
      <c r="D25" s="188">
        <v>12.171288343897722</v>
      </c>
      <c r="E25" s="188">
        <v>12.220020914292707</v>
      </c>
      <c r="F25" s="188">
        <v>13.513925733026769</v>
      </c>
      <c r="G25" s="188">
        <v>13.213180431526251</v>
      </c>
      <c r="H25" s="187">
        <v>13.408560330305036</v>
      </c>
      <c r="I25" s="187">
        <v>13.120296814924522</v>
      </c>
      <c r="J25" s="187">
        <v>13.731868665175201</v>
      </c>
      <c r="K25" s="187">
        <v>13.276739605409077</v>
      </c>
      <c r="L25" s="187">
        <v>12.8</v>
      </c>
      <c r="M25" s="187">
        <v>14.1</v>
      </c>
      <c r="N25" s="187">
        <v>14.2</v>
      </c>
      <c r="O25" s="187">
        <v>14.5</v>
      </c>
      <c r="P25" s="307">
        <v>15</v>
      </c>
      <c r="Q25" s="187"/>
      <c r="R25" s="187"/>
      <c r="S25" s="188"/>
      <c r="T25" s="188"/>
      <c r="U25" s="188"/>
      <c r="V25" s="188"/>
      <c r="W25" s="188">
        <v>15</v>
      </c>
      <c r="X25" s="107">
        <f>W25*(1+'Hypothèses conso'!$B$10)</f>
        <v>14.7</v>
      </c>
      <c r="Y25" s="9" t="s">
        <v>44</v>
      </c>
      <c r="Z25" s="527">
        <f t="shared" si="0"/>
        <v>6.3829787234042534E-2</v>
      </c>
      <c r="AA25" s="453"/>
      <c r="AB25" s="285"/>
      <c r="AC25" s="285"/>
      <c r="AK25" s="1"/>
      <c r="AL25" s="1"/>
      <c r="AM25" s="1"/>
      <c r="AR25"/>
      <c r="AS25" s="1"/>
    </row>
    <row r="26" spans="1:45" x14ac:dyDescent="0.3">
      <c r="A26" t="s">
        <v>281</v>
      </c>
      <c r="B26" s="9" t="s">
        <v>112</v>
      </c>
      <c r="C26" s="117">
        <f>C28+C30+C32</f>
        <v>356.90700585542027</v>
      </c>
      <c r="D26" s="117">
        <f t="shared" ref="D26:W26" si="2">D28+D30+D32</f>
        <v>356.01510984118306</v>
      </c>
      <c r="E26" s="117">
        <f t="shared" si="2"/>
        <v>354.72110650832559</v>
      </c>
      <c r="F26" s="117">
        <f t="shared" si="2"/>
        <v>353.93994538638594</v>
      </c>
      <c r="G26" s="117">
        <f t="shared" si="2"/>
        <v>360.13449215740792</v>
      </c>
      <c r="H26" s="117">
        <f t="shared" si="2"/>
        <v>355.08771550963172</v>
      </c>
      <c r="I26" s="117">
        <f t="shared" si="2"/>
        <v>347.27314324950345</v>
      </c>
      <c r="J26" s="117">
        <f t="shared" si="2"/>
        <v>346.41117043054464</v>
      </c>
      <c r="K26" s="117">
        <f t="shared" si="2"/>
        <v>345.21500000000003</v>
      </c>
      <c r="L26" s="117">
        <f t="shared" si="2"/>
        <v>367.89000000000004</v>
      </c>
      <c r="M26" s="117">
        <f t="shared" si="2"/>
        <v>354.35</v>
      </c>
      <c r="N26" s="117">
        <f t="shared" si="2"/>
        <v>368</v>
      </c>
      <c r="O26" s="117">
        <f t="shared" si="2"/>
        <v>362.1</v>
      </c>
      <c r="P26" s="117">
        <f t="shared" si="2"/>
        <v>362.5625</v>
      </c>
      <c r="Q26" s="117">
        <f t="shared" si="2"/>
        <v>0</v>
      </c>
      <c r="R26" s="117">
        <f t="shared" si="2"/>
        <v>0</v>
      </c>
      <c r="S26" s="117">
        <f t="shared" si="2"/>
        <v>0</v>
      </c>
      <c r="T26" s="117">
        <f t="shared" si="2"/>
        <v>0</v>
      </c>
      <c r="U26" s="117">
        <f t="shared" si="2"/>
        <v>0</v>
      </c>
      <c r="V26" s="117">
        <f t="shared" si="2"/>
        <v>0</v>
      </c>
      <c r="W26" s="117">
        <f t="shared" si="2"/>
        <v>360</v>
      </c>
      <c r="X26" s="107">
        <f>W26*(1+'Hypothèses conso'!$B$11)</f>
        <v>324</v>
      </c>
      <c r="Y26" s="9" t="s">
        <v>112</v>
      </c>
      <c r="Z26" s="527">
        <f t="shared" si="0"/>
        <v>1.5944687455905049E-2</v>
      </c>
      <c r="AA26" s="453"/>
      <c r="AB26" s="285"/>
      <c r="AC26" s="285"/>
      <c r="AK26" s="1"/>
      <c r="AL26" s="1"/>
      <c r="AM26" s="1"/>
      <c r="AR26"/>
      <c r="AS26" s="1"/>
    </row>
    <row r="27" spans="1:45" x14ac:dyDescent="0.3">
      <c r="A27" t="s">
        <v>281</v>
      </c>
      <c r="B27" s="192" t="s">
        <v>287</v>
      </c>
      <c r="C27" s="193">
        <v>65.67071849772428</v>
      </c>
      <c r="D27" s="194">
        <v>64.778822483487048</v>
      </c>
      <c r="E27" s="194">
        <v>63.820043275225572</v>
      </c>
      <c r="F27" s="194">
        <v>63.917857853333864</v>
      </c>
      <c r="G27" s="194">
        <v>61.941448731224646</v>
      </c>
      <c r="H27" s="195">
        <v>59.799736294770661</v>
      </c>
      <c r="I27" s="195">
        <v>57.047277806805994</v>
      </c>
      <c r="J27" s="195">
        <v>54.916348624344558</v>
      </c>
      <c r="K27" s="195">
        <v>53.22</v>
      </c>
      <c r="L27" s="195">
        <v>52.78</v>
      </c>
      <c r="M27" s="195">
        <v>51.1</v>
      </c>
      <c r="N27" s="195">
        <v>49.2</v>
      </c>
      <c r="O27" s="195">
        <v>49.4</v>
      </c>
      <c r="P27" s="309">
        <v>49.2</v>
      </c>
      <c r="Q27" s="195"/>
      <c r="R27" s="195"/>
      <c r="S27" s="194"/>
      <c r="T27" s="194"/>
      <c r="U27" s="194"/>
      <c r="V27" s="194"/>
      <c r="W27" s="194">
        <v>42</v>
      </c>
      <c r="X27" s="201">
        <f>W27*(1+'Hypothèses conso'!$B$11)</f>
        <v>37.800000000000004</v>
      </c>
      <c r="Y27" s="198"/>
      <c r="Z27" s="90"/>
      <c r="AA27" s="90"/>
      <c r="AB27" s="90"/>
      <c r="AC27" s="90"/>
      <c r="AG27" s="158"/>
      <c r="AK27" s="1"/>
      <c r="AL27" s="1"/>
      <c r="AM27" s="1"/>
      <c r="AR27"/>
      <c r="AS27" s="1"/>
    </row>
    <row r="28" spans="1:45" x14ac:dyDescent="0.3">
      <c r="A28" t="s">
        <v>281</v>
      </c>
      <c r="B28" s="192" t="s">
        <v>288</v>
      </c>
      <c r="C28" s="197">
        <f>1*C27</f>
        <v>65.67071849772428</v>
      </c>
      <c r="D28" s="197">
        <f t="shared" ref="D28:W28" si="3">1*D27</f>
        <v>64.778822483487048</v>
      </c>
      <c r="E28" s="197">
        <f t="shared" si="3"/>
        <v>63.820043275225572</v>
      </c>
      <c r="F28" s="197">
        <f t="shared" si="3"/>
        <v>63.917857853333864</v>
      </c>
      <c r="G28" s="197">
        <f t="shared" si="3"/>
        <v>61.941448731224646</v>
      </c>
      <c r="H28" s="197">
        <f t="shared" si="3"/>
        <v>59.799736294770661</v>
      </c>
      <c r="I28" s="197">
        <f t="shared" si="3"/>
        <v>57.047277806805994</v>
      </c>
      <c r="J28" s="197">
        <f t="shared" si="3"/>
        <v>54.916348624344558</v>
      </c>
      <c r="K28" s="197">
        <f t="shared" si="3"/>
        <v>53.22</v>
      </c>
      <c r="L28" s="197">
        <f t="shared" si="3"/>
        <v>52.78</v>
      </c>
      <c r="M28" s="197">
        <f t="shared" si="3"/>
        <v>51.1</v>
      </c>
      <c r="N28" s="197">
        <f t="shared" si="3"/>
        <v>49.2</v>
      </c>
      <c r="O28" s="197">
        <f t="shared" si="3"/>
        <v>49.4</v>
      </c>
      <c r="P28" s="197">
        <f t="shared" si="3"/>
        <v>49.2</v>
      </c>
      <c r="Q28" s="197">
        <f t="shared" si="3"/>
        <v>0</v>
      </c>
      <c r="R28" s="197">
        <f t="shared" si="3"/>
        <v>0</v>
      </c>
      <c r="S28" s="197">
        <f t="shared" si="3"/>
        <v>0</v>
      </c>
      <c r="T28" s="197">
        <f t="shared" si="3"/>
        <v>0</v>
      </c>
      <c r="U28" s="197">
        <f t="shared" si="3"/>
        <v>0</v>
      </c>
      <c r="V28" s="197">
        <f t="shared" si="3"/>
        <v>0</v>
      </c>
      <c r="W28" s="197">
        <f t="shared" si="3"/>
        <v>42</v>
      </c>
      <c r="X28" s="201">
        <f>W28*(1+'Hypothèses conso'!$B$11)</f>
        <v>37.800000000000004</v>
      </c>
      <c r="Y28" s="198"/>
      <c r="Z28" s="90"/>
      <c r="AA28" s="90"/>
      <c r="AB28" s="90"/>
      <c r="AC28" s="90"/>
      <c r="AG28" s="158"/>
      <c r="AK28" s="1"/>
      <c r="AL28" s="1"/>
      <c r="AM28" s="1"/>
      <c r="AR28"/>
      <c r="AS28" s="1"/>
    </row>
    <row r="29" spans="1:45" x14ac:dyDescent="0.3">
      <c r="A29" t="s">
        <v>281</v>
      </c>
      <c r="B29" s="192" t="s">
        <v>290</v>
      </c>
      <c r="C29" s="193">
        <v>38.894487239680366</v>
      </c>
      <c r="D29" s="194">
        <v>38.894487239680366</v>
      </c>
      <c r="E29" s="194">
        <v>38.046136230756268</v>
      </c>
      <c r="F29" s="194">
        <v>37.814221258253667</v>
      </c>
      <c r="G29" s="194">
        <v>37.098708345082201</v>
      </c>
      <c r="H29" s="195">
        <v>37.388873513335966</v>
      </c>
      <c r="I29" s="195">
        <v>36.696968805351183</v>
      </c>
      <c r="J29" s="195">
        <v>36.805374822505314</v>
      </c>
      <c r="K29" s="195">
        <v>36.729999999999997</v>
      </c>
      <c r="L29" s="195">
        <v>38.340000000000003</v>
      </c>
      <c r="M29" s="195">
        <v>35.5</v>
      </c>
      <c r="N29" s="195">
        <v>35.200000000000003</v>
      </c>
      <c r="O29" s="309">
        <v>35.799999999999997</v>
      </c>
      <c r="P29" s="309">
        <f>$O$29+(1/8)*($W$29-$O$29)</f>
        <v>35.574999999999996</v>
      </c>
      <c r="Q29" s="195"/>
      <c r="R29" s="195"/>
      <c r="S29" s="194"/>
      <c r="T29" s="194"/>
      <c r="U29" s="194"/>
      <c r="V29" s="194"/>
      <c r="W29" s="194">
        <v>34</v>
      </c>
      <c r="X29" s="201">
        <f>W29*(1+'Hypothèses conso'!$B$11)</f>
        <v>30.6</v>
      </c>
      <c r="Y29" s="198"/>
      <c r="Z29" s="90"/>
      <c r="AA29" s="90"/>
      <c r="AB29" s="90"/>
      <c r="AC29" s="90"/>
      <c r="AG29" s="158"/>
      <c r="AK29" s="1"/>
      <c r="AL29" s="1"/>
      <c r="AM29" s="1"/>
      <c r="AR29"/>
      <c r="AS29" s="1"/>
    </row>
    <row r="30" spans="1:45" x14ac:dyDescent="0.3">
      <c r="A30" t="s">
        <v>281</v>
      </c>
      <c r="B30" s="192" t="s">
        <v>291</v>
      </c>
      <c r="C30" s="197">
        <f>1.5*C29</f>
        <v>58.341730859520553</v>
      </c>
      <c r="D30" s="197">
        <f t="shared" ref="D30:W30" si="4">1.5*D29</f>
        <v>58.341730859520553</v>
      </c>
      <c r="E30" s="197">
        <f t="shared" si="4"/>
        <v>57.069204346134399</v>
      </c>
      <c r="F30" s="197">
        <f t="shared" si="4"/>
        <v>56.721331887380501</v>
      </c>
      <c r="G30" s="197">
        <f t="shared" si="4"/>
        <v>55.648062517623302</v>
      </c>
      <c r="H30" s="197">
        <f t="shared" si="4"/>
        <v>56.083310270003949</v>
      </c>
      <c r="I30" s="197">
        <f t="shared" si="4"/>
        <v>55.045453208026771</v>
      </c>
      <c r="J30" s="197">
        <f t="shared" si="4"/>
        <v>55.208062233757971</v>
      </c>
      <c r="K30" s="197">
        <f t="shared" si="4"/>
        <v>55.094999999999999</v>
      </c>
      <c r="L30" s="197">
        <f t="shared" si="4"/>
        <v>57.510000000000005</v>
      </c>
      <c r="M30" s="197">
        <f t="shared" si="4"/>
        <v>53.25</v>
      </c>
      <c r="N30" s="197">
        <f t="shared" si="4"/>
        <v>52.800000000000004</v>
      </c>
      <c r="O30" s="197">
        <f t="shared" si="4"/>
        <v>53.699999999999996</v>
      </c>
      <c r="P30" s="197">
        <f t="shared" si="4"/>
        <v>53.362499999999997</v>
      </c>
      <c r="Q30" s="197">
        <f t="shared" si="4"/>
        <v>0</v>
      </c>
      <c r="R30" s="197">
        <f t="shared" si="4"/>
        <v>0</v>
      </c>
      <c r="S30" s="197">
        <f t="shared" si="4"/>
        <v>0</v>
      </c>
      <c r="T30" s="197">
        <f t="shared" si="4"/>
        <v>0</v>
      </c>
      <c r="U30" s="197">
        <f t="shared" si="4"/>
        <v>0</v>
      </c>
      <c r="V30" s="197">
        <f t="shared" si="4"/>
        <v>0</v>
      </c>
      <c r="W30" s="197">
        <f t="shared" si="4"/>
        <v>51</v>
      </c>
      <c r="X30" s="201">
        <f>W30*(1+'Hypothèses conso'!$B$11)</f>
        <v>45.9</v>
      </c>
      <c r="Y30" s="198"/>
      <c r="Z30" s="90"/>
      <c r="AA30" s="90"/>
      <c r="AB30" s="90"/>
      <c r="AC30" s="90"/>
      <c r="AG30" s="158"/>
      <c r="AK30" s="1"/>
      <c r="AL30" s="1"/>
      <c r="AM30" s="1"/>
      <c r="AR30"/>
      <c r="AS30" s="1"/>
    </row>
    <row r="31" spans="1:45" x14ac:dyDescent="0.3">
      <c r="A31" t="s">
        <v>281</v>
      </c>
      <c r="B31" s="192" t="s">
        <v>292</v>
      </c>
      <c r="C31" s="193">
        <v>23.289455649817544</v>
      </c>
      <c r="D31" s="194">
        <v>23.289455649817544</v>
      </c>
      <c r="E31" s="194">
        <v>23.383185888696563</v>
      </c>
      <c r="F31" s="194">
        <v>23.330075564567156</v>
      </c>
      <c r="G31" s="194">
        <v>24.254498090855996</v>
      </c>
      <c r="H31" s="195">
        <v>23.92046689448571</v>
      </c>
      <c r="I31" s="195">
        <v>23.518041223467069</v>
      </c>
      <c r="J31" s="195">
        <v>23.628675957244209</v>
      </c>
      <c r="K31" s="195">
        <v>23.69</v>
      </c>
      <c r="L31" s="195">
        <v>25.76</v>
      </c>
      <c r="M31" s="195">
        <v>25</v>
      </c>
      <c r="N31" s="195">
        <v>26.6</v>
      </c>
      <c r="O31" s="309">
        <v>25.9</v>
      </c>
      <c r="P31" s="309">
        <f>$O$31+(1/8)*($W$31-$O$31)</f>
        <v>26</v>
      </c>
      <c r="Q31" s="195"/>
      <c r="R31" s="195"/>
      <c r="S31" s="194"/>
      <c r="T31" s="194"/>
      <c r="U31" s="194"/>
      <c r="V31" s="194"/>
      <c r="W31" s="194">
        <v>26.7</v>
      </c>
      <c r="X31" s="201">
        <f>W31*(1+'Hypothèses conso'!$B$11)</f>
        <v>24.03</v>
      </c>
      <c r="Y31" s="198"/>
      <c r="Z31" s="90"/>
      <c r="AA31" s="90"/>
      <c r="AB31" s="90"/>
      <c r="AC31" s="90"/>
      <c r="AG31" s="158"/>
      <c r="AK31" s="1"/>
      <c r="AL31" s="1"/>
      <c r="AM31" s="1"/>
      <c r="AR31"/>
      <c r="AS31" s="1"/>
    </row>
    <row r="32" spans="1:45" x14ac:dyDescent="0.3">
      <c r="A32" t="s">
        <v>281</v>
      </c>
      <c r="B32" s="200" t="s">
        <v>293</v>
      </c>
      <c r="C32" s="201">
        <f>10*C31</f>
        <v>232.89455649817543</v>
      </c>
      <c r="D32" s="201">
        <f t="shared" ref="D32:W32" si="5">10*D31</f>
        <v>232.89455649817543</v>
      </c>
      <c r="E32" s="201">
        <f t="shared" si="5"/>
        <v>233.83185888696562</v>
      </c>
      <c r="F32" s="201">
        <f t="shared" si="5"/>
        <v>233.30075564567156</v>
      </c>
      <c r="G32" s="201">
        <f t="shared" si="5"/>
        <v>242.54498090855998</v>
      </c>
      <c r="H32" s="201">
        <f t="shared" si="5"/>
        <v>239.2046689448571</v>
      </c>
      <c r="I32" s="201">
        <f t="shared" si="5"/>
        <v>235.18041223467068</v>
      </c>
      <c r="J32" s="201">
        <f t="shared" si="5"/>
        <v>236.28675957244209</v>
      </c>
      <c r="K32" s="201">
        <f t="shared" si="5"/>
        <v>236.9</v>
      </c>
      <c r="L32" s="201">
        <f t="shared" si="5"/>
        <v>257.60000000000002</v>
      </c>
      <c r="M32" s="201">
        <f t="shared" si="5"/>
        <v>250</v>
      </c>
      <c r="N32" s="201">
        <f t="shared" si="5"/>
        <v>266</v>
      </c>
      <c r="O32" s="201">
        <f t="shared" si="5"/>
        <v>259</v>
      </c>
      <c r="P32" s="201">
        <f t="shared" si="5"/>
        <v>260</v>
      </c>
      <c r="Q32" s="201">
        <f t="shared" si="5"/>
        <v>0</v>
      </c>
      <c r="R32" s="201">
        <f t="shared" si="5"/>
        <v>0</v>
      </c>
      <c r="S32" s="201">
        <f t="shared" si="5"/>
        <v>0</v>
      </c>
      <c r="T32" s="201">
        <f t="shared" si="5"/>
        <v>0</v>
      </c>
      <c r="U32" s="201">
        <f t="shared" si="5"/>
        <v>0</v>
      </c>
      <c r="V32" s="201">
        <f t="shared" si="5"/>
        <v>0</v>
      </c>
      <c r="W32" s="201">
        <f t="shared" si="5"/>
        <v>267</v>
      </c>
      <c r="X32" s="201">
        <f>W32*(1+'Hypothèses conso'!$B$11)</f>
        <v>240.3</v>
      </c>
      <c r="Y32" s="198"/>
      <c r="Z32" s="90"/>
      <c r="AA32" s="90"/>
      <c r="AB32" s="90"/>
      <c r="AC32" s="90"/>
      <c r="AG32" s="158"/>
      <c r="AK32" s="1"/>
      <c r="AL32" s="1"/>
      <c r="AM32" s="1"/>
      <c r="AR32"/>
      <c r="AS32" s="1"/>
    </row>
    <row r="33" spans="1:70" x14ac:dyDescent="0.3">
      <c r="J33" s="1"/>
    </row>
    <row r="34" spans="1:70" x14ac:dyDescent="0.3">
      <c r="F34" s="90"/>
      <c r="L34" s="1" t="s">
        <v>391</v>
      </c>
      <c r="M34" s="1"/>
      <c r="S34" s="628" t="s">
        <v>549</v>
      </c>
      <c r="T34" s="629"/>
      <c r="U34" s="65" t="s">
        <v>547</v>
      </c>
      <c r="V34" s="65" t="s">
        <v>548</v>
      </c>
      <c r="W34" s="65" t="s">
        <v>551</v>
      </c>
    </row>
    <row r="35" spans="1:70" ht="28.8" x14ac:dyDescent="0.3">
      <c r="A35" s="425" t="s">
        <v>404</v>
      </c>
      <c r="B35" s="108" t="s">
        <v>306</v>
      </c>
      <c r="C35" s="165" t="s">
        <v>307</v>
      </c>
      <c r="D35" s="108" t="s">
        <v>308</v>
      </c>
      <c r="E35" s="108" t="s">
        <v>22</v>
      </c>
      <c r="F35" s="65" t="s">
        <v>199</v>
      </c>
      <c r="I35" s="62" t="s">
        <v>315</v>
      </c>
      <c r="J35" s="62" t="s">
        <v>320</v>
      </c>
      <c r="L35" s="108" t="s">
        <v>306</v>
      </c>
      <c r="M35" s="165" t="s">
        <v>307</v>
      </c>
      <c r="N35" s="108" t="s">
        <v>308</v>
      </c>
      <c r="O35" s="108" t="s">
        <v>22</v>
      </c>
      <c r="P35" s="65" t="s">
        <v>199</v>
      </c>
      <c r="S35" s="628" t="s">
        <v>550</v>
      </c>
      <c r="T35" s="629"/>
      <c r="U35" s="108">
        <f>Résultats!V97+Résultats!V99+Résultats!V100</f>
        <v>-89354.963609376224</v>
      </c>
      <c r="V35" s="108">
        <f>Résultats!W97+Résultats!W99+Résultats!W100</f>
        <v>-99382.391722159271</v>
      </c>
      <c r="W35" s="108">
        <f>V35-U35</f>
        <v>-10027.428112783047</v>
      </c>
      <c r="AR35"/>
    </row>
    <row r="36" spans="1:70" x14ac:dyDescent="0.3">
      <c r="A36" s="108" t="s">
        <v>77</v>
      </c>
      <c r="B36" s="135">
        <f t="shared" ref="B36:B49" si="6">F36*E36</f>
        <v>76841.776644116675</v>
      </c>
      <c r="C36" s="135">
        <f>E36-D36-B36</f>
        <v>40904.897415992004</v>
      </c>
      <c r="D36" s="108">
        <f>E36*'cereal - util hum anim indus'!D441</f>
        <v>91583.325939891321</v>
      </c>
      <c r="E36" s="76">
        <v>209330</v>
      </c>
      <c r="F36" s="138">
        <f>'cereal - util hum anim indus'!I441</f>
        <v>0.36708439614062327</v>
      </c>
      <c r="G36" s="7"/>
      <c r="I36" s="62" t="s">
        <v>56</v>
      </c>
      <c r="J36" s="180">
        <f>SUM(E36:E44)</f>
        <v>509332</v>
      </c>
      <c r="K36" s="112">
        <f t="shared" ref="K36:K45" si="7">J36/$J$46</f>
        <v>0.17823805621092428</v>
      </c>
      <c r="L36" s="108">
        <f t="shared" ref="L36:L55" si="8">O36*F36</f>
        <v>1722611.8065875568</v>
      </c>
      <c r="M36" s="135">
        <f>O36-N36-L36</f>
        <v>916991.54175446369</v>
      </c>
      <c r="N36" s="108">
        <f>O36*'cereal - util hum anim indus'!D441</f>
        <v>2053082.6516579795</v>
      </c>
      <c r="O36" s="76">
        <v>4692686</v>
      </c>
      <c r="P36" s="138">
        <f t="shared" ref="P36:P44" si="9">L36/O36</f>
        <v>0.36708439614062327</v>
      </c>
      <c r="S36" s="628" t="s">
        <v>552</v>
      </c>
      <c r="T36" s="629"/>
      <c r="U36" s="108" t="e">
        <f>Résultats!#REF!</f>
        <v>#REF!</v>
      </c>
      <c r="V36" s="108" t="e">
        <f>Résultats!#REF!</f>
        <v>#REF!</v>
      </c>
      <c r="W36" s="108" t="e">
        <f>V36-U36</f>
        <v>#REF!</v>
      </c>
    </row>
    <row r="37" spans="1:70" x14ac:dyDescent="0.3">
      <c r="A37" s="108" t="s">
        <v>78</v>
      </c>
      <c r="B37" s="135">
        <f t="shared" si="6"/>
        <v>8816.1677215189866</v>
      </c>
      <c r="C37" s="135">
        <f t="shared" ref="C37:C53" si="10">E37-D37-B37</f>
        <v>253.4264240506327</v>
      </c>
      <c r="D37" s="135">
        <f>E37*'cereal - util hum anim indus'!D442</f>
        <v>637.4058544303798</v>
      </c>
      <c r="E37" s="5">
        <v>9707</v>
      </c>
      <c r="F37" s="139">
        <f>'cereal - util hum anim indus'!I442</f>
        <v>0.90822784810126578</v>
      </c>
      <c r="G37" s="90"/>
      <c r="I37" s="62" t="s">
        <v>309</v>
      </c>
      <c r="J37" s="180">
        <f>SUM(E45:E49)</f>
        <v>99736</v>
      </c>
      <c r="K37" s="112">
        <f t="shared" si="7"/>
        <v>3.4902088960153191E-2</v>
      </c>
      <c r="L37" s="108">
        <f t="shared" si="8"/>
        <v>229572.75316455695</v>
      </c>
      <c r="M37" s="135">
        <f t="shared" ref="M37:M53" si="11">O37-N37-L37</f>
        <v>6599.2167721519072</v>
      </c>
      <c r="N37" s="135">
        <f>O37*'cereal - util hum anim indus'!D442</f>
        <v>16598.030063291139</v>
      </c>
      <c r="O37" s="5">
        <v>252770</v>
      </c>
      <c r="P37" s="139">
        <f t="shared" si="9"/>
        <v>0.90822784810126578</v>
      </c>
      <c r="S37"/>
      <c r="T37"/>
    </row>
    <row r="38" spans="1:70" x14ac:dyDescent="0.3">
      <c r="A38" s="108" t="s">
        <v>80</v>
      </c>
      <c r="B38" s="135">
        <f t="shared" si="6"/>
        <v>1075.9302325581396</v>
      </c>
      <c r="C38" s="135">
        <f t="shared" si="10"/>
        <v>283.13953488372113</v>
      </c>
      <c r="D38" s="135">
        <f>E38*'cereal - util hum anim indus'!D445</f>
        <v>8380.9302325581393</v>
      </c>
      <c r="E38" s="5">
        <v>9740</v>
      </c>
      <c r="F38" s="139">
        <f>'cereal - util hum anim indus'!I445</f>
        <v>0.11046511627906977</v>
      </c>
      <c r="G38" s="625">
        <f>SUM(B38:B44)/SUM(E38:E44)</f>
        <v>5.1490170351032073E-2</v>
      </c>
      <c r="I38" s="62" t="s">
        <v>310</v>
      </c>
      <c r="J38" s="297">
        <f>8882+170</f>
        <v>9052</v>
      </c>
      <c r="K38" s="112">
        <f t="shared" si="7"/>
        <v>3.1676998201983905E-3</v>
      </c>
      <c r="L38" s="108">
        <f t="shared" si="8"/>
        <v>4573.5872093023254</v>
      </c>
      <c r="M38" s="135">
        <f t="shared" si="11"/>
        <v>1203.5755813953465</v>
      </c>
      <c r="N38" s="135">
        <f>O38*'cereal - util hum anim indus'!D445</f>
        <v>35625.837209302328</v>
      </c>
      <c r="O38" s="5">
        <v>41403</v>
      </c>
      <c r="P38" s="139">
        <f t="shared" si="9"/>
        <v>0.11046511627906977</v>
      </c>
      <c r="Q38" s="625">
        <f>SUM(L38:L44)/SUM(O38:O44)</f>
        <v>4.8734471320221018E-2</v>
      </c>
      <c r="S38" t="s">
        <v>553</v>
      </c>
      <c r="T38"/>
      <c r="AM38" s="90"/>
      <c r="AN38" s="90"/>
      <c r="AO38" s="90"/>
      <c r="AP38" s="90"/>
      <c r="AQ38" s="90"/>
      <c r="AR38" s="157"/>
      <c r="AS38" s="90"/>
      <c r="AT38" s="90"/>
      <c r="AU38" s="90"/>
      <c r="AV38" s="90"/>
      <c r="AW38" s="90"/>
      <c r="AX38" s="90"/>
      <c r="AY38" s="90"/>
      <c r="AZ38" s="90"/>
      <c r="BA38" s="90"/>
      <c r="BB38" s="90"/>
      <c r="BC38" s="90"/>
      <c r="BD38" s="90"/>
      <c r="BE38" s="90"/>
      <c r="BF38" s="90"/>
      <c r="BG38" s="90"/>
      <c r="BH38" s="90"/>
      <c r="BI38" s="90"/>
      <c r="BJ38" s="90"/>
      <c r="BK38" s="90"/>
      <c r="BL38" s="90"/>
      <c r="BM38" s="90"/>
      <c r="BN38" s="90"/>
      <c r="BO38" s="90"/>
      <c r="BP38" s="90"/>
      <c r="BQ38" s="90"/>
      <c r="BR38" s="90"/>
    </row>
    <row r="39" spans="1:70" x14ac:dyDescent="0.3">
      <c r="A39" s="108" t="s">
        <v>81</v>
      </c>
      <c r="B39" s="135">
        <f t="shared" si="6"/>
        <v>2211.767940610393</v>
      </c>
      <c r="C39" s="135">
        <f t="shared" si="10"/>
        <v>9713.3475391806423</v>
      </c>
      <c r="D39" s="135">
        <f>E39*'cereal - util hum anim indus'!D444</f>
        <v>55109.884520208965</v>
      </c>
      <c r="E39" s="5">
        <v>67035</v>
      </c>
      <c r="F39" s="139">
        <f>'cereal - util hum anim indus'!I444</f>
        <v>3.2994226010448172E-2</v>
      </c>
      <c r="G39" s="626"/>
      <c r="I39" s="62" t="s">
        <v>311</v>
      </c>
      <c r="J39" s="180">
        <f>E58</f>
        <v>368372</v>
      </c>
      <c r="K39" s="112">
        <f t="shared" si="7"/>
        <v>0.12890984513545312</v>
      </c>
      <c r="L39" s="108">
        <f t="shared" si="8"/>
        <v>61368.072587297225</v>
      </c>
      <c r="M39" s="135">
        <f t="shared" si="11"/>
        <v>269508.11877921369</v>
      </c>
      <c r="N39" s="135">
        <f>O39*'cereal - util hum anim indus'!D444</f>
        <v>1529087.8086334891</v>
      </c>
      <c r="O39" s="5">
        <v>1859964</v>
      </c>
      <c r="P39" s="139">
        <f t="shared" si="9"/>
        <v>3.2994226010448172E-2</v>
      </c>
      <c r="Q39" s="626"/>
      <c r="S39" t="s">
        <v>554</v>
      </c>
      <c r="T39"/>
      <c r="AM39" s="90"/>
      <c r="AN39" s="90"/>
      <c r="AO39" s="90"/>
      <c r="AP39" s="90"/>
      <c r="AQ39" s="90"/>
      <c r="AR39" s="157"/>
      <c r="AS39" s="90"/>
      <c r="AT39" s="90"/>
      <c r="AU39" s="90"/>
      <c r="AV39" s="90"/>
      <c r="AW39" s="90"/>
      <c r="AX39" s="90"/>
      <c r="AY39" s="90"/>
      <c r="AZ39" s="90"/>
      <c r="BA39" s="90"/>
      <c r="BB39" s="90"/>
      <c r="BC39" s="90"/>
      <c r="BD39" s="90"/>
      <c r="BE39" s="90"/>
      <c r="BF39" s="90"/>
      <c r="BG39" s="90"/>
      <c r="BH39" s="90"/>
      <c r="BI39" s="90"/>
      <c r="BJ39" s="90"/>
      <c r="BK39" s="90"/>
      <c r="BL39" s="90"/>
      <c r="BM39" s="90"/>
      <c r="BN39" s="90"/>
      <c r="BO39" s="90"/>
      <c r="BP39" s="90"/>
      <c r="BQ39" s="90"/>
      <c r="BR39" s="90"/>
    </row>
    <row r="40" spans="1:70" x14ac:dyDescent="0.3">
      <c r="A40" s="108" t="s">
        <v>82</v>
      </c>
      <c r="B40" s="135">
        <f t="shared" si="6"/>
        <v>156.06951871657753</v>
      </c>
      <c r="C40" s="135">
        <f t="shared" si="10"/>
        <v>144.06417112299454</v>
      </c>
      <c r="D40" s="135">
        <f>E40*'cereal - util hum anim indus'!D446</f>
        <v>4189.8663101604279</v>
      </c>
      <c r="E40" s="5">
        <v>4490</v>
      </c>
      <c r="F40" s="139">
        <f>'cereal - util hum anim indus'!I446</f>
        <v>3.4759358288770054E-2</v>
      </c>
      <c r="G40" s="626"/>
      <c r="I40" s="62" t="s">
        <v>312</v>
      </c>
      <c r="J40" s="180">
        <f>E60</f>
        <v>1737674</v>
      </c>
      <c r="K40" s="112">
        <f t="shared" si="7"/>
        <v>0.60808988260753627</v>
      </c>
      <c r="L40" s="108">
        <f t="shared" si="8"/>
        <v>3360.4304812834225</v>
      </c>
      <c r="M40" s="135">
        <f t="shared" si="11"/>
        <v>3101.93582887701</v>
      </c>
      <c r="N40" s="135">
        <f>O40*'cereal - util hum anim indus'!D446</f>
        <v>90214.633689839568</v>
      </c>
      <c r="O40" s="5">
        <v>96677</v>
      </c>
      <c r="P40" s="139">
        <f t="shared" si="9"/>
        <v>3.4759358288770054E-2</v>
      </c>
      <c r="Q40" s="626"/>
      <c r="AM40" s="90"/>
      <c r="AN40" s="90"/>
      <c r="AO40" s="90"/>
      <c r="AP40" s="90"/>
      <c r="AQ40" s="90"/>
      <c r="AR40" s="157"/>
      <c r="AS40" s="90"/>
      <c r="AT40" s="90"/>
      <c r="AU40" s="90"/>
      <c r="AV40" s="90"/>
      <c r="AW40" s="90"/>
      <c r="AX40" s="90"/>
      <c r="AY40" s="90"/>
      <c r="AZ40" s="90"/>
      <c r="BA40" s="90"/>
      <c r="BB40" s="90"/>
      <c r="BC40" s="90"/>
      <c r="BD40" s="90"/>
      <c r="BE40" s="90"/>
      <c r="BF40" s="90"/>
      <c r="BG40" s="90"/>
      <c r="BH40" s="90"/>
      <c r="BI40" s="90"/>
      <c r="BJ40" s="90"/>
      <c r="BK40" s="90"/>
      <c r="BL40" s="90"/>
      <c r="BM40" s="90"/>
      <c r="BN40" s="90"/>
      <c r="BO40" s="90"/>
      <c r="BP40" s="90"/>
      <c r="BQ40" s="90"/>
      <c r="BR40" s="90"/>
    </row>
    <row r="41" spans="1:70" x14ac:dyDescent="0.3">
      <c r="A41" s="108" t="s">
        <v>83</v>
      </c>
      <c r="B41" s="135">
        <f t="shared" si="6"/>
        <v>8767.5569620253173</v>
      </c>
      <c r="C41" s="135">
        <f t="shared" si="10"/>
        <v>17284.190576652611</v>
      </c>
      <c r="D41" s="135">
        <f>E41*'cereal - util hum anim indus'!D443</f>
        <v>99882.252461322074</v>
      </c>
      <c r="E41" s="5">
        <v>125934</v>
      </c>
      <c r="F41" s="139">
        <f>'cereal - util hum anim indus'!I443</f>
        <v>6.9620253164556972E-2</v>
      </c>
      <c r="G41" s="626"/>
      <c r="I41" s="62" t="s">
        <v>88</v>
      </c>
      <c r="J41" s="180">
        <f>E56</f>
        <v>14741</v>
      </c>
      <c r="K41" s="112">
        <f t="shared" si="7"/>
        <v>5.1585354672497212E-3</v>
      </c>
      <c r="L41" s="108">
        <f t="shared" si="8"/>
        <v>100163.77215189875</v>
      </c>
      <c r="M41" s="135">
        <f t="shared" si="11"/>
        <v>197460.90436005621</v>
      </c>
      <c r="N41" s="135">
        <f>O41*'cereal - util hum anim indus'!D443</f>
        <v>1141091.323488045</v>
      </c>
      <c r="O41" s="5">
        <v>1438716</v>
      </c>
      <c r="P41" s="139">
        <f t="shared" si="9"/>
        <v>6.9620253164556972E-2</v>
      </c>
      <c r="Q41" s="626"/>
      <c r="AM41" s="90"/>
      <c r="AN41" s="90"/>
      <c r="AO41" s="90"/>
      <c r="AP41" s="90"/>
      <c r="AQ41" s="90"/>
      <c r="AR41" s="157"/>
      <c r="AS41" s="90"/>
      <c r="AT41" s="90"/>
      <c r="AU41" s="90"/>
      <c r="AV41" s="90"/>
      <c r="AW41" s="90"/>
      <c r="AX41" s="90"/>
      <c r="AY41" s="90"/>
      <c r="AZ41" s="90"/>
      <c r="BA41" s="90"/>
      <c r="BB41" s="90"/>
      <c r="BC41" s="90"/>
      <c r="BD41" s="90"/>
      <c r="BE41" s="90"/>
      <c r="BF41" s="90"/>
      <c r="BG41" s="90"/>
      <c r="BH41" s="90"/>
      <c r="BI41" s="90"/>
      <c r="BJ41" s="90"/>
      <c r="BK41" s="90"/>
      <c r="BL41" s="90"/>
      <c r="BM41" s="90"/>
      <c r="BN41" s="90"/>
      <c r="BO41" s="90"/>
      <c r="BP41" s="90"/>
      <c r="BQ41" s="90"/>
      <c r="BR41" s="90"/>
    </row>
    <row r="42" spans="1:70" x14ac:dyDescent="0.3">
      <c r="A42" s="108" t="s">
        <v>186</v>
      </c>
      <c r="B42" s="135">
        <f t="shared" si="6"/>
        <v>63.630136986301366</v>
      </c>
      <c r="C42" s="135">
        <f t="shared" si="10"/>
        <v>63.630136986301224</v>
      </c>
      <c r="D42" s="135">
        <f>E42*'cereal - util hum anim indus'!D448</f>
        <v>4517.7397260273974</v>
      </c>
      <c r="E42" s="5">
        <v>4645</v>
      </c>
      <c r="F42" s="139">
        <f>'cereal - util hum anim indus'!I448</f>
        <v>1.3698630136986301E-2</v>
      </c>
      <c r="G42" s="626"/>
      <c r="I42" s="62" t="s">
        <v>89</v>
      </c>
      <c r="J42" s="180">
        <f>E57</f>
        <v>33981</v>
      </c>
      <c r="K42" s="112">
        <f t="shared" si="7"/>
        <v>1.1891472336518064E-2</v>
      </c>
      <c r="L42" s="108">
        <f t="shared" si="8"/>
        <v>659.84931506849307</v>
      </c>
      <c r="M42" s="135">
        <f t="shared" si="11"/>
        <v>659.84931506849034</v>
      </c>
      <c r="N42" s="135">
        <f>O42*'cereal - util hum anim indus'!D448</f>
        <v>46849.301369863017</v>
      </c>
      <c r="O42" s="5">
        <v>48169</v>
      </c>
      <c r="P42" s="139">
        <f t="shared" si="9"/>
        <v>1.3698630136986299E-2</v>
      </c>
      <c r="Q42" s="626"/>
      <c r="AM42" s="90"/>
      <c r="AN42" s="90"/>
      <c r="AO42" s="90"/>
      <c r="AP42" s="90"/>
      <c r="AQ42" s="90"/>
      <c r="AR42" s="157"/>
      <c r="AS42" s="90"/>
      <c r="AT42" s="90"/>
      <c r="AU42" s="90"/>
      <c r="AV42" s="90"/>
      <c r="AW42" s="90"/>
      <c r="AX42" s="90"/>
      <c r="AY42" s="90"/>
      <c r="AZ42" s="90"/>
      <c r="BA42" s="90"/>
      <c r="BB42" s="90"/>
      <c r="BC42" s="90"/>
      <c r="BD42" s="90"/>
      <c r="BE42" s="90"/>
      <c r="BF42" s="90"/>
      <c r="BG42" s="90"/>
      <c r="BH42" s="90"/>
      <c r="BI42" s="90"/>
      <c r="BJ42" s="90"/>
      <c r="BK42" s="90"/>
      <c r="BL42" s="90"/>
      <c r="BM42" s="90"/>
      <c r="BN42" s="90"/>
      <c r="BO42" s="90"/>
      <c r="BP42" s="90"/>
      <c r="BQ42" s="90"/>
      <c r="BR42" s="90"/>
    </row>
    <row r="43" spans="1:70" x14ac:dyDescent="0.3">
      <c r="A43" s="108" t="s">
        <v>187</v>
      </c>
      <c r="B43" s="135">
        <f t="shared" si="6"/>
        <v>302.56799493991144</v>
      </c>
      <c r="C43" s="135">
        <f t="shared" si="10"/>
        <v>1853.2289690069533</v>
      </c>
      <c r="D43" s="135">
        <f>E43*'cereal - util hum anim indus'!D447</f>
        <v>57639.203036053135</v>
      </c>
      <c r="E43" s="5">
        <v>59795</v>
      </c>
      <c r="F43" s="139">
        <f>'cereal - util hum anim indus'!I447</f>
        <v>5.0600885515496522E-3</v>
      </c>
      <c r="G43" s="626"/>
      <c r="I43" s="152" t="s">
        <v>317</v>
      </c>
      <c r="J43" s="297">
        <v>48969</v>
      </c>
      <c r="K43" s="112">
        <f t="shared" si="7"/>
        <v>1.7136444155467851E-2</v>
      </c>
      <c r="L43" s="108">
        <f t="shared" si="8"/>
        <v>1728.394686907021</v>
      </c>
      <c r="M43" s="135">
        <f t="shared" si="11"/>
        <v>10586.417457305462</v>
      </c>
      <c r="N43" s="135">
        <f>O43*'cereal - util hum anim indus'!D447</f>
        <v>329259.18785578752</v>
      </c>
      <c r="O43" s="5">
        <v>341574</v>
      </c>
      <c r="P43" s="139">
        <f t="shared" si="9"/>
        <v>5.0600885515496522E-3</v>
      </c>
      <c r="Q43" s="626"/>
      <c r="AM43" s="90"/>
      <c r="AN43" s="90"/>
      <c r="AO43" s="90"/>
      <c r="AP43" s="90"/>
      <c r="AQ43" s="90"/>
      <c r="AR43" s="157"/>
      <c r="AS43" s="90"/>
      <c r="AT43" s="90"/>
      <c r="AU43" s="90"/>
      <c r="AV43" s="90"/>
      <c r="AW43" s="90"/>
      <c r="AX43" s="90"/>
      <c r="AY43" s="90"/>
      <c r="AZ43" s="90"/>
      <c r="BA43" s="90"/>
      <c r="BB43" s="90"/>
      <c r="BC43" s="90"/>
      <c r="BD43" s="90"/>
      <c r="BE43" s="90"/>
      <c r="BF43" s="90"/>
      <c r="BG43" s="90"/>
      <c r="BH43" s="90"/>
      <c r="BI43" s="90"/>
      <c r="BJ43" s="90"/>
      <c r="BK43" s="90"/>
      <c r="BL43" s="90"/>
      <c r="BM43" s="90"/>
      <c r="BN43" s="90"/>
      <c r="BO43" s="90"/>
      <c r="BP43" s="90"/>
      <c r="BQ43" s="90"/>
      <c r="BR43" s="90"/>
    </row>
    <row r="44" spans="1:70" x14ac:dyDescent="0.3">
      <c r="A44" s="108" t="s">
        <v>84</v>
      </c>
      <c r="B44" s="135">
        <f t="shared" si="6"/>
        <v>2369.8162162162157</v>
      </c>
      <c r="C44" s="135">
        <f t="shared" si="10"/>
        <v>0</v>
      </c>
      <c r="D44" s="135">
        <f>E44*'cereal - util hum anim indus'!D449</f>
        <v>16286.183783783783</v>
      </c>
      <c r="E44" s="5">
        <f>3126+15530</f>
        <v>18656</v>
      </c>
      <c r="F44" s="139">
        <f>'cereal - util hum anim indus'!I449</f>
        <v>0.12702702702702701</v>
      </c>
      <c r="G44" s="627"/>
      <c r="I44" s="152" t="s">
        <v>319</v>
      </c>
      <c r="J44" s="297">
        <v>15213</v>
      </c>
      <c r="K44" s="112">
        <f t="shared" si="7"/>
        <v>5.3237093862879056E-3</v>
      </c>
      <c r="L44" s="108">
        <f t="shared" si="8"/>
        <v>23734.237837837834</v>
      </c>
      <c r="M44" s="135">
        <f t="shared" si="11"/>
        <v>0</v>
      </c>
      <c r="N44" s="135">
        <f>O44*'cereal - util hum anim indus'!D449</f>
        <v>163109.76216216217</v>
      </c>
      <c r="O44" s="5">
        <v>186844</v>
      </c>
      <c r="P44" s="139">
        <f t="shared" si="9"/>
        <v>0.12702702702702701</v>
      </c>
      <c r="Q44" s="627"/>
      <c r="S44" s="183"/>
      <c r="T44" s="183"/>
      <c r="U44" s="182"/>
      <c r="V44" s="182"/>
      <c r="AM44" s="90"/>
      <c r="AN44" s="90"/>
      <c r="AO44" s="90"/>
      <c r="AP44" s="90"/>
      <c r="AQ44" s="90"/>
      <c r="AR44" s="157"/>
      <c r="AS44" s="90"/>
      <c r="AT44" s="90"/>
      <c r="AU44" s="90"/>
      <c r="AV44" s="90"/>
      <c r="AW44" s="90"/>
      <c r="AX44" s="90"/>
      <c r="AY44" s="90"/>
      <c r="AZ44" s="90"/>
      <c r="BA44" s="90"/>
      <c r="BB44" s="90"/>
      <c r="BC44" s="90"/>
      <c r="BD44" s="90"/>
      <c r="BE44" s="90"/>
      <c r="BF44" s="90"/>
      <c r="BG44" s="90"/>
      <c r="BH44" s="90"/>
      <c r="BI44" s="90"/>
      <c r="BJ44" s="90"/>
      <c r="BK44" s="90"/>
      <c r="BL44" s="90"/>
      <c r="BM44" s="90"/>
      <c r="BN44" s="90"/>
      <c r="BO44" s="90"/>
      <c r="BP44" s="90"/>
      <c r="BQ44" s="90"/>
      <c r="BR44" s="90"/>
    </row>
    <row r="45" spans="1:70" x14ac:dyDescent="0.3">
      <c r="A45" s="108" t="s">
        <v>66</v>
      </c>
      <c r="B45" s="135">
        <f t="shared" si="6"/>
        <v>4249.7984279176444</v>
      </c>
      <c r="C45" s="135">
        <f t="shared" si="10"/>
        <v>31654.531572082356</v>
      </c>
      <c r="D45" s="134">
        <f>0.01*E45</f>
        <v>362.67</v>
      </c>
      <c r="E45" s="5">
        <v>36267</v>
      </c>
      <c r="F45" s="139">
        <f>'cereal - util hum anim indus'!V243</f>
        <v>0.11718086491625015</v>
      </c>
      <c r="G45" s="87"/>
      <c r="I45" s="152" t="s">
        <v>316</v>
      </c>
      <c r="J45" s="297">
        <f>2857594-SUM(J36:J44)</f>
        <v>20524</v>
      </c>
      <c r="K45" s="112">
        <f t="shared" si="7"/>
        <v>7.1822659202111991E-3</v>
      </c>
      <c r="L45" s="108">
        <f t="shared" si="8"/>
        <v>144002.27590606574</v>
      </c>
      <c r="M45" s="135">
        <f t="shared" si="11"/>
        <v>1072597.8340939344</v>
      </c>
      <c r="N45" s="134">
        <f>0.01*O45</f>
        <v>12288.89</v>
      </c>
      <c r="O45" s="5">
        <v>1228889</v>
      </c>
      <c r="P45" s="139">
        <f t="shared" ref="P45:P53" si="12">L45/O45</f>
        <v>0.11718086491625015</v>
      </c>
      <c r="Q45" s="158"/>
      <c r="S45" s="183"/>
      <c r="T45" s="315"/>
      <c r="U45" s="454"/>
      <c r="V45" s="454"/>
      <c r="AM45" s="90"/>
      <c r="AN45" s="90"/>
      <c r="AO45" s="90"/>
      <c r="AP45" s="90"/>
      <c r="AQ45" s="90"/>
      <c r="AR45" s="157"/>
      <c r="AS45" s="90"/>
      <c r="AT45" s="90"/>
      <c r="AU45" s="90"/>
      <c r="AV45" s="90"/>
      <c r="AW45" s="90"/>
      <c r="AX45" s="90"/>
      <c r="AY45" s="90"/>
      <c r="AZ45" s="90"/>
      <c r="BA45" s="90"/>
      <c r="BB45" s="90"/>
      <c r="BC45" s="90"/>
      <c r="BD45" s="90"/>
      <c r="BE45" s="90"/>
      <c r="BF45" s="90"/>
      <c r="BG45" s="90"/>
      <c r="BH45" s="90"/>
      <c r="BI45" s="90"/>
      <c r="BJ45" s="90"/>
      <c r="BK45" s="90"/>
      <c r="BL45" s="90"/>
      <c r="BM45" s="90"/>
      <c r="BN45" s="90"/>
      <c r="BO45" s="90"/>
      <c r="BP45" s="90"/>
      <c r="BQ45" s="90"/>
      <c r="BR45" s="90"/>
    </row>
    <row r="46" spans="1:70" x14ac:dyDescent="0.3">
      <c r="A46" s="108" t="s">
        <v>67</v>
      </c>
      <c r="B46" s="135">
        <f t="shared" si="6"/>
        <v>28739.75</v>
      </c>
      <c r="C46" s="135">
        <f t="shared" si="10"/>
        <v>14148.800000000003</v>
      </c>
      <c r="D46" s="134">
        <f>0.03*E46</f>
        <v>1326.45</v>
      </c>
      <c r="E46" s="5">
        <v>44215</v>
      </c>
      <c r="F46" s="139">
        <f>'cereal - util hum anim indus'!V289</f>
        <v>0.65</v>
      </c>
      <c r="G46" s="87"/>
      <c r="I46" s="298" t="s">
        <v>336</v>
      </c>
      <c r="J46" s="301">
        <f>SUM(J36:J45)</f>
        <v>2857594</v>
      </c>
      <c r="K46" s="112"/>
      <c r="L46" s="108">
        <f t="shared" si="8"/>
        <v>559469.95000000007</v>
      </c>
      <c r="M46" s="135">
        <f t="shared" si="11"/>
        <v>275431.36</v>
      </c>
      <c r="N46" s="134">
        <f>0.03*O46</f>
        <v>25821.69</v>
      </c>
      <c r="O46" s="5">
        <v>860723</v>
      </c>
      <c r="P46" s="139">
        <f t="shared" si="12"/>
        <v>0.65000000000000013</v>
      </c>
      <c r="Q46" s="158"/>
      <c r="S46" s="183"/>
      <c r="T46" s="315"/>
      <c r="U46" s="454"/>
      <c r="V46" s="454"/>
      <c r="AM46" s="90"/>
      <c r="AN46" s="90"/>
      <c r="AO46" s="90"/>
      <c r="AP46" s="90"/>
      <c r="AQ46" s="90"/>
      <c r="AR46" s="157"/>
      <c r="AS46" s="90"/>
      <c r="AT46" s="90"/>
      <c r="AU46" s="90"/>
      <c r="AV46" s="90"/>
      <c r="AW46" s="90"/>
      <c r="AX46" s="90"/>
      <c r="AY46" s="90"/>
      <c r="AZ46" s="90"/>
      <c r="BA46" s="90"/>
      <c r="BB46" s="90"/>
      <c r="BC46" s="90"/>
      <c r="BD46" s="90"/>
      <c r="BE46" s="90"/>
      <c r="BF46" s="90"/>
      <c r="BG46" s="90"/>
      <c r="BH46" s="90"/>
      <c r="BI46" s="90"/>
      <c r="BJ46" s="90"/>
      <c r="BK46" s="90"/>
      <c r="BL46" s="90"/>
      <c r="BM46" s="90"/>
      <c r="BN46" s="90"/>
      <c r="BO46" s="90"/>
      <c r="BP46" s="90"/>
      <c r="BQ46" s="90"/>
      <c r="BR46" s="90"/>
    </row>
    <row r="47" spans="1:70" x14ac:dyDescent="0.3">
      <c r="A47" s="108" t="s">
        <v>85</v>
      </c>
      <c r="B47" s="135">
        <f t="shared" si="6"/>
        <v>8424.7013698630144</v>
      </c>
      <c r="C47" s="135">
        <f t="shared" si="10"/>
        <v>3820.504109589041</v>
      </c>
      <c r="D47" s="135">
        <f>E47*'cereal - util hum anim indus'!D452</f>
        <v>5632.7945205479446</v>
      </c>
      <c r="E47" s="5">
        <v>17878</v>
      </c>
      <c r="F47" s="139">
        <f>'cereal - util hum anim indus'!I452</f>
        <v>0.47123287671232883</v>
      </c>
      <c r="G47" s="87"/>
      <c r="I47" s="450"/>
      <c r="J47" s="7"/>
      <c r="L47" s="108">
        <f t="shared" si="8"/>
        <v>85994.345205479462</v>
      </c>
      <c r="M47" s="135">
        <f t="shared" si="11"/>
        <v>38997.43561643835</v>
      </c>
      <c r="N47" s="135">
        <f>O47*'cereal - util hum anim indus'!D452</f>
        <v>57496.219178082189</v>
      </c>
      <c r="O47" s="5">
        <v>182488</v>
      </c>
      <c r="P47" s="139">
        <f t="shared" si="12"/>
        <v>0.47123287671232883</v>
      </c>
      <c r="Q47" s="158"/>
      <c r="S47" s="183"/>
      <c r="T47" s="315"/>
      <c r="U47" s="454"/>
      <c r="V47" s="454"/>
      <c r="AM47" s="90"/>
      <c r="AN47" s="90"/>
      <c r="AO47" s="90"/>
      <c r="AP47" s="90"/>
      <c r="AQ47" s="90"/>
      <c r="AR47" s="157"/>
      <c r="AS47" s="90"/>
      <c r="AT47" s="90"/>
      <c r="AU47" s="90"/>
      <c r="AV47" s="90"/>
      <c r="AW47" s="90"/>
      <c r="AX47" s="90"/>
      <c r="AY47" s="90"/>
      <c r="AZ47" s="90"/>
      <c r="BA47" s="90"/>
      <c r="BB47" s="90"/>
      <c r="BC47" s="90"/>
      <c r="BD47" s="90"/>
      <c r="BE47" s="90"/>
      <c r="BF47" s="90"/>
      <c r="BG47" s="90"/>
      <c r="BH47" s="90"/>
      <c r="BI47" s="90"/>
      <c r="BJ47" s="90"/>
      <c r="BK47" s="90"/>
      <c r="BL47" s="90"/>
      <c r="BM47" s="90"/>
      <c r="BN47" s="90"/>
      <c r="BO47" s="90"/>
      <c r="BP47" s="90"/>
      <c r="BQ47" s="90"/>
      <c r="BR47" s="90"/>
    </row>
    <row r="48" spans="1:70" x14ac:dyDescent="0.3">
      <c r="A48" s="108" t="s">
        <v>86</v>
      </c>
      <c r="B48" s="135">
        <f t="shared" si="6"/>
        <v>114.5</v>
      </c>
      <c r="C48" s="134">
        <v>0</v>
      </c>
      <c r="D48" s="135">
        <f t="shared" ref="D48:D49" si="13">E48-B48</f>
        <v>1030.5</v>
      </c>
      <c r="E48" s="134">
        <v>1145</v>
      </c>
      <c r="F48" s="310">
        <v>0.1</v>
      </c>
      <c r="G48" s="87"/>
      <c r="I48" s="90"/>
      <c r="J48" s="7"/>
      <c r="L48" s="108">
        <f t="shared" si="8"/>
        <v>2891.3</v>
      </c>
      <c r="M48" s="134">
        <v>0</v>
      </c>
      <c r="N48" s="135">
        <f t="shared" ref="N48:N49" si="14">O48-L48</f>
        <v>26021.7</v>
      </c>
      <c r="O48" s="134">
        <v>28913</v>
      </c>
      <c r="P48" s="139">
        <f t="shared" si="12"/>
        <v>0.1</v>
      </c>
      <c r="Q48" s="158"/>
      <c r="S48" s="183"/>
      <c r="T48" s="183"/>
      <c r="U48" s="454"/>
      <c r="V48" s="454"/>
      <c r="AM48" s="90"/>
      <c r="AN48" s="90"/>
      <c r="AO48" s="90"/>
      <c r="AP48" s="90"/>
      <c r="AQ48" s="90"/>
      <c r="AR48" s="157"/>
      <c r="AS48" s="90"/>
      <c r="AT48" s="90"/>
      <c r="AU48" s="90"/>
      <c r="AV48" s="90"/>
      <c r="AW48" s="90"/>
      <c r="AX48" s="90"/>
      <c r="AY48" s="90"/>
      <c r="AZ48" s="90"/>
      <c r="BA48" s="90"/>
      <c r="BB48" s="90"/>
      <c r="BC48" s="90"/>
      <c r="BD48" s="90"/>
      <c r="BE48" s="90"/>
      <c r="BF48" s="90"/>
      <c r="BG48" s="90"/>
      <c r="BH48" s="90"/>
      <c r="BI48" s="90"/>
      <c r="BJ48" s="90"/>
      <c r="BK48" s="90"/>
      <c r="BL48" s="90"/>
      <c r="BM48" s="90"/>
      <c r="BN48" s="90"/>
      <c r="BO48" s="90"/>
      <c r="BP48" s="90"/>
      <c r="BQ48" s="90"/>
      <c r="BR48" s="90"/>
    </row>
    <row r="49" spans="1:70" x14ac:dyDescent="0.3">
      <c r="A49" s="108" t="s">
        <v>87</v>
      </c>
      <c r="B49" s="135">
        <f t="shared" si="6"/>
        <v>46.2</v>
      </c>
      <c r="C49" s="134">
        <v>0</v>
      </c>
      <c r="D49" s="135">
        <f t="shared" si="13"/>
        <v>184.8</v>
      </c>
      <c r="E49" s="134">
        <v>231</v>
      </c>
      <c r="F49" s="310">
        <v>0.2</v>
      </c>
      <c r="G49" s="87"/>
      <c r="J49" s="7"/>
      <c r="L49" s="108">
        <f t="shared" si="8"/>
        <v>2014</v>
      </c>
      <c r="M49" s="134">
        <v>0</v>
      </c>
      <c r="N49" s="135">
        <f t="shared" si="14"/>
        <v>8056</v>
      </c>
      <c r="O49" s="134">
        <v>10070</v>
      </c>
      <c r="P49" s="139">
        <f t="shared" si="12"/>
        <v>0.2</v>
      </c>
      <c r="Q49" s="158"/>
      <c r="S49" s="183"/>
      <c r="T49" s="183"/>
      <c r="U49" s="182"/>
      <c r="V49" s="182"/>
      <c r="AM49" s="90"/>
      <c r="AN49" s="90"/>
      <c r="AO49" s="90"/>
      <c r="AP49" s="90"/>
      <c r="AQ49" s="90"/>
      <c r="AR49" s="157"/>
      <c r="AS49" s="90"/>
      <c r="AT49" s="90"/>
      <c r="AU49" s="90"/>
      <c r="AV49" s="90"/>
      <c r="AW49" s="90"/>
      <c r="AX49" s="90"/>
      <c r="AY49" s="90"/>
      <c r="AZ49" s="90"/>
      <c r="BA49" s="90"/>
      <c r="BB49" s="90"/>
      <c r="BC49" s="90"/>
      <c r="BD49" s="90"/>
      <c r="BE49" s="90"/>
      <c r="BF49" s="90"/>
      <c r="BG49" s="90"/>
      <c r="BH49" s="90"/>
      <c r="BI49" s="90"/>
      <c r="BJ49" s="90"/>
      <c r="BK49" s="90"/>
      <c r="BL49" s="90"/>
      <c r="BM49" s="90"/>
      <c r="BN49" s="90"/>
      <c r="BO49" s="90"/>
      <c r="BP49" s="90"/>
      <c r="BQ49" s="90"/>
      <c r="BR49" s="90"/>
    </row>
    <row r="50" spans="1:70" x14ac:dyDescent="0.3">
      <c r="A50" s="108" t="s">
        <v>184</v>
      </c>
      <c r="B50" s="135">
        <f>E50*'cereal - util hum anim indus'!I456</f>
        <v>59.244186046511629</v>
      </c>
      <c r="C50" s="135">
        <f t="shared" si="10"/>
        <v>71.093023255813989</v>
      </c>
      <c r="D50" s="135">
        <f>E50*'cereal - util hum anim indus'!D456</f>
        <v>888.66279069767438</v>
      </c>
      <c r="E50" s="134">
        <v>1019</v>
      </c>
      <c r="F50" s="139">
        <f>'cereal - util hum anim indus'!I456</f>
        <v>5.8139534883720929E-2</v>
      </c>
      <c r="G50" s="625">
        <f>SUM(B50:B55)/SUM(E50:E55)</f>
        <v>0.52182731260937842</v>
      </c>
      <c r="J50" s="7"/>
      <c r="L50" s="108">
        <f t="shared" si="8"/>
        <v>3958.546511627907</v>
      </c>
      <c r="M50" s="135">
        <f t="shared" si="11"/>
        <v>4750.2558139534904</v>
      </c>
      <c r="N50" s="135">
        <f>O50*'cereal - util hum anim indus'!D456</f>
        <v>59378.197674418603</v>
      </c>
      <c r="O50" s="134">
        <v>68087</v>
      </c>
      <c r="P50" s="139">
        <f t="shared" si="12"/>
        <v>5.8139534883720929E-2</v>
      </c>
      <c r="Q50" s="625">
        <f>SUM(L50:L55)/SUM(O50:O55)</f>
        <v>0.22297690054411401</v>
      </c>
      <c r="S50" s="86"/>
      <c r="T50" s="183"/>
      <c r="U50" s="182"/>
      <c r="V50" s="182"/>
      <c r="AM50" s="90"/>
      <c r="AN50" s="90"/>
      <c r="AO50" s="90"/>
      <c r="AP50" s="90"/>
      <c r="AQ50" s="90"/>
      <c r="AR50" s="157"/>
      <c r="AS50" s="90"/>
      <c r="AT50" s="90"/>
      <c r="AU50" s="90"/>
      <c r="AV50" s="90"/>
      <c r="AW50" s="90"/>
      <c r="AX50" s="90"/>
      <c r="AY50" s="90"/>
      <c r="AZ50" s="90"/>
      <c r="BA50" s="90"/>
      <c r="BB50" s="90"/>
      <c r="BC50" s="90"/>
      <c r="BD50" s="90"/>
      <c r="BE50" s="90"/>
      <c r="BF50" s="90"/>
      <c r="BG50" s="90"/>
      <c r="BH50" s="90"/>
      <c r="BI50" s="90"/>
      <c r="BJ50" s="90"/>
      <c r="BK50" s="90"/>
      <c r="BL50" s="90"/>
      <c r="BM50" s="90"/>
      <c r="BN50" s="90"/>
      <c r="BO50" s="90"/>
      <c r="BP50" s="90"/>
      <c r="BQ50" s="90"/>
      <c r="BR50" s="90"/>
    </row>
    <row r="51" spans="1:70" x14ac:dyDescent="0.3">
      <c r="A51" s="108" t="s">
        <v>185</v>
      </c>
      <c r="B51" s="135">
        <f>E51*'cereal - util hum anim indus'!I457</f>
        <v>7</v>
      </c>
      <c r="C51" s="135">
        <f t="shared" si="10"/>
        <v>7</v>
      </c>
      <c r="D51" s="135">
        <f>E51*'cereal - util hum anim indus'!D457</f>
        <v>98</v>
      </c>
      <c r="E51" s="134">
        <v>112</v>
      </c>
      <c r="F51" s="139">
        <f>'cereal - util hum anim indus'!I457</f>
        <v>6.25E-2</v>
      </c>
      <c r="G51" s="626"/>
      <c r="J51" s="7"/>
      <c r="L51" s="108">
        <f t="shared" si="8"/>
        <v>330.6875</v>
      </c>
      <c r="M51" s="135">
        <f t="shared" si="11"/>
        <v>330.6875</v>
      </c>
      <c r="N51" s="135">
        <f>O51*'cereal - util hum anim indus'!D457</f>
        <v>4629.625</v>
      </c>
      <c r="O51" s="134">
        <v>5291</v>
      </c>
      <c r="P51" s="139">
        <f t="shared" si="12"/>
        <v>6.25E-2</v>
      </c>
      <c r="Q51" s="626"/>
      <c r="S51" s="183"/>
      <c r="T51" s="183"/>
      <c r="U51" s="182"/>
      <c r="V51" s="182"/>
      <c r="AM51" s="90"/>
      <c r="AN51" s="90"/>
      <c r="AO51" s="90"/>
      <c r="AP51" s="90"/>
      <c r="AQ51" s="90"/>
      <c r="AR51" s="157"/>
      <c r="AS51" s="90"/>
      <c r="AT51" s="90"/>
      <c r="AU51" s="90"/>
      <c r="AV51" s="90"/>
      <c r="AW51" s="90"/>
      <c r="AX51" s="90"/>
      <c r="AY51" s="90"/>
      <c r="AZ51" s="90"/>
      <c r="BA51" s="90"/>
      <c r="BB51" s="90"/>
      <c r="BC51" s="90"/>
      <c r="BD51" s="90"/>
      <c r="BE51" s="90"/>
      <c r="BF51" s="90"/>
      <c r="BG51" s="90"/>
      <c r="BH51" s="90"/>
      <c r="BI51" s="90"/>
      <c r="BJ51" s="90"/>
      <c r="BK51" s="90"/>
      <c r="BL51" s="90"/>
      <c r="BM51" s="90"/>
      <c r="BN51" s="90"/>
      <c r="BO51" s="90"/>
      <c r="BP51" s="90"/>
      <c r="BQ51" s="90"/>
      <c r="BR51" s="90"/>
    </row>
    <row r="52" spans="1:70" x14ac:dyDescent="0.3">
      <c r="A52" s="108" t="s">
        <v>269</v>
      </c>
      <c r="B52" s="135">
        <f>E52*'cereal - util hum anim indus'!I459</f>
        <v>94.370370370370381</v>
      </c>
      <c r="C52" s="135">
        <f t="shared" si="10"/>
        <v>9.6296296296296191</v>
      </c>
      <c r="D52" s="135">
        <f>E52*'cereal - util hum anim indus'!D459</f>
        <v>0</v>
      </c>
      <c r="E52" s="134">
        <v>104</v>
      </c>
      <c r="F52" s="139">
        <f>'cereal - util hum anim indus'!I459</f>
        <v>0.90740740740740744</v>
      </c>
      <c r="G52" s="626"/>
      <c r="I52" s="62" t="s">
        <v>315</v>
      </c>
      <c r="J52" s="297" t="s">
        <v>314</v>
      </c>
      <c r="L52" s="108">
        <f t="shared" si="8"/>
        <v>5223.9444444444443</v>
      </c>
      <c r="M52" s="135">
        <f t="shared" si="11"/>
        <v>533.05555555555566</v>
      </c>
      <c r="N52" s="135">
        <f>O52*'cereal - util hum anim indus'!D459</f>
        <v>0</v>
      </c>
      <c r="O52" s="134">
        <f>5757</f>
        <v>5757</v>
      </c>
      <c r="P52" s="139">
        <f t="shared" si="12"/>
        <v>0.90740740740740744</v>
      </c>
      <c r="Q52" s="626"/>
      <c r="S52" s="183"/>
      <c r="T52" s="183"/>
      <c r="U52" s="182"/>
      <c r="V52" s="182"/>
      <c r="AM52" s="90"/>
      <c r="AN52" s="90"/>
      <c r="AO52" s="90"/>
      <c r="AP52" s="90"/>
      <c r="AQ52" s="90"/>
      <c r="AR52" s="157"/>
      <c r="AS52" s="90"/>
      <c r="AT52" s="90"/>
      <c r="AU52" s="90"/>
      <c r="AV52" s="90"/>
      <c r="AW52" s="90"/>
      <c r="AX52" s="90"/>
      <c r="AY52" s="90"/>
      <c r="AZ52" s="90"/>
      <c r="BA52" s="90"/>
      <c r="BB52" s="90"/>
      <c r="BC52" s="90"/>
      <c r="BD52" s="90"/>
      <c r="BE52" s="90"/>
      <c r="BF52" s="90"/>
      <c r="BG52" s="90"/>
      <c r="BH52" s="90"/>
      <c r="BI52" s="90"/>
      <c r="BJ52" s="90"/>
      <c r="BK52" s="90"/>
      <c r="BL52" s="90"/>
      <c r="BM52" s="90"/>
      <c r="BN52" s="90"/>
      <c r="BO52" s="90"/>
      <c r="BP52" s="90"/>
      <c r="BQ52" s="90"/>
      <c r="BR52" s="90"/>
    </row>
    <row r="53" spans="1:70" x14ac:dyDescent="0.3">
      <c r="A53" s="9" t="s">
        <v>268</v>
      </c>
      <c r="B53" s="117">
        <f>E53*'cereal - util hum anim indus'!I458</f>
        <v>3711.5178571428569</v>
      </c>
      <c r="C53" s="135">
        <f t="shared" si="10"/>
        <v>67.482142857143117</v>
      </c>
      <c r="D53" s="9">
        <f>E53*'cereal - util hum anim indus'!D458</f>
        <v>0</v>
      </c>
      <c r="E53" s="79">
        <v>3779</v>
      </c>
      <c r="F53" s="139">
        <f>'cereal - util hum anim indus'!I458</f>
        <v>0.9821428571428571</v>
      </c>
      <c r="G53" s="626"/>
      <c r="I53" s="62" t="s">
        <v>320</v>
      </c>
      <c r="J53" s="180">
        <f>J46</f>
        <v>2857594</v>
      </c>
      <c r="K53" s="112">
        <f>J53/J59</f>
        <v>0.40170884060731599</v>
      </c>
      <c r="L53" s="316">
        <f t="shared" si="8"/>
        <v>28303.392857142855</v>
      </c>
      <c r="M53" s="135">
        <f t="shared" si="11"/>
        <v>514.60714285714494</v>
      </c>
      <c r="N53" s="9">
        <f>O53*'cereal - util hum anim indus'!D458</f>
        <v>0</v>
      </c>
      <c r="O53" s="79">
        <v>28818</v>
      </c>
      <c r="P53" s="139">
        <f t="shared" si="12"/>
        <v>0.9821428571428571</v>
      </c>
      <c r="Q53" s="626"/>
      <c r="S53" s="183"/>
      <c r="T53" s="183"/>
      <c r="U53" s="283"/>
      <c r="V53" s="182"/>
      <c r="AM53" s="90"/>
      <c r="AN53" s="90"/>
      <c r="AO53" s="90"/>
      <c r="AP53" s="90"/>
      <c r="AQ53" s="90"/>
      <c r="AR53" s="157"/>
      <c r="AS53" s="90"/>
      <c r="AT53" s="90"/>
      <c r="AU53" s="90"/>
      <c r="AV53" s="90"/>
      <c r="AW53" s="90"/>
      <c r="AX53" s="90"/>
      <c r="AY53" s="90"/>
      <c r="AZ53" s="90"/>
      <c r="BA53" s="90"/>
      <c r="BB53" s="90"/>
      <c r="BC53" s="90"/>
      <c r="BD53" s="90"/>
      <c r="BE53" s="90"/>
      <c r="BF53" s="90"/>
      <c r="BG53" s="90"/>
      <c r="BH53" s="90"/>
      <c r="BI53" s="90"/>
      <c r="BJ53" s="90"/>
      <c r="BK53" s="90"/>
      <c r="BL53" s="90"/>
      <c r="BM53" s="90"/>
      <c r="BN53" s="90"/>
      <c r="BO53" s="90"/>
      <c r="BP53" s="90"/>
      <c r="BQ53" s="90"/>
      <c r="BR53" s="90"/>
    </row>
    <row r="54" spans="1:70" x14ac:dyDescent="0.3">
      <c r="A54" s="108" t="s">
        <v>303</v>
      </c>
      <c r="B54" s="135">
        <f>E54*'cereal - util hum anim indus'!I455</f>
        <v>248.55534709193245</v>
      </c>
      <c r="C54" s="135">
        <f t="shared" ref="C54:C58" si="15">E54-D54-B54</f>
        <v>180.20262664165119</v>
      </c>
      <c r="D54" s="135">
        <f>E54*'cereal - util hum anim indus'!D455</f>
        <v>2883.2420262664164</v>
      </c>
      <c r="E54" s="134">
        <f>1486+1826</f>
        <v>3312</v>
      </c>
      <c r="F54" s="139">
        <f>'cereal - util hum anim indus'!I455</f>
        <v>7.5046904315196991E-2</v>
      </c>
      <c r="G54" s="626"/>
      <c r="I54" s="62" t="s">
        <v>321</v>
      </c>
      <c r="J54" s="297">
        <f>3122253-J53</f>
        <v>264659</v>
      </c>
      <c r="K54" s="112">
        <f>J54/$J$59</f>
        <v>3.7204676397798862E-2</v>
      </c>
      <c r="L54" s="316">
        <f t="shared" si="8"/>
        <v>13725.253283302063</v>
      </c>
      <c r="M54" s="135">
        <f>O54-N54-L54</f>
        <v>9950.8086303939963</v>
      </c>
      <c r="N54" s="135">
        <f>O54*'cereal - util hum anim indus'!D455</f>
        <v>159212.93808630394</v>
      </c>
      <c r="O54" s="134">
        <v>182889</v>
      </c>
      <c r="P54" s="139">
        <f>L54/O54</f>
        <v>7.5046904315196991E-2</v>
      </c>
      <c r="Q54" s="626"/>
      <c r="AM54" s="90"/>
      <c r="AN54" s="90"/>
      <c r="AO54" s="90"/>
      <c r="AP54" s="90"/>
      <c r="AQ54" s="90"/>
      <c r="AR54" s="157"/>
      <c r="AS54" s="90"/>
      <c r="AT54" s="90"/>
      <c r="AU54" s="90"/>
      <c r="AV54" s="90"/>
      <c r="AW54" s="90"/>
      <c r="AX54" s="90"/>
      <c r="AY54" s="90"/>
      <c r="AZ54" s="90"/>
      <c r="BA54" s="90"/>
      <c r="BB54" s="90"/>
      <c r="BC54" s="90"/>
      <c r="BD54" s="90"/>
      <c r="BE54" s="90"/>
      <c r="BF54" s="90"/>
      <c r="BG54" s="90"/>
      <c r="BH54" s="90"/>
      <c r="BI54" s="90"/>
      <c r="BJ54" s="90"/>
      <c r="BK54" s="90"/>
      <c r="BL54" s="90"/>
      <c r="BM54" s="90"/>
      <c r="BN54" s="90"/>
      <c r="BO54" s="90"/>
      <c r="BP54" s="90"/>
      <c r="BQ54" s="90"/>
      <c r="BR54" s="90"/>
    </row>
    <row r="55" spans="1:70" x14ac:dyDescent="0.3">
      <c r="A55" s="108" t="s">
        <v>40</v>
      </c>
      <c r="B55" s="135">
        <f>F55*E55</f>
        <v>479.21999999999997</v>
      </c>
      <c r="C55" s="135">
        <f t="shared" si="15"/>
        <v>9.7800000000000296</v>
      </c>
      <c r="D55" s="133">
        <v>0</v>
      </c>
      <c r="E55" s="133">
        <v>489</v>
      </c>
      <c r="F55" s="310">
        <v>0.98</v>
      </c>
      <c r="G55" s="627"/>
      <c r="I55" s="62" t="s">
        <v>313</v>
      </c>
      <c r="J55" s="297">
        <v>2791032</v>
      </c>
      <c r="K55" s="112">
        <f>J55/$J$59</f>
        <v>0.39235182773267246</v>
      </c>
      <c r="L55" s="316">
        <f t="shared" si="8"/>
        <v>17229.38</v>
      </c>
      <c r="M55" s="135">
        <f>O55-N55-L55</f>
        <v>351.61999999999898</v>
      </c>
      <c r="N55" s="133">
        <v>0</v>
      </c>
      <c r="O55" s="133">
        <v>17581</v>
      </c>
      <c r="P55" s="139">
        <f>L55/O55</f>
        <v>0.98000000000000009</v>
      </c>
      <c r="Q55" s="627"/>
      <c r="AM55" s="90"/>
      <c r="AN55" s="90"/>
      <c r="AO55" s="90"/>
      <c r="AP55" s="90"/>
      <c r="AQ55" s="90"/>
      <c r="AR55" s="157"/>
      <c r="AS55" s="90"/>
      <c r="AT55" s="90"/>
      <c r="AU55" s="90"/>
      <c r="AV55" s="90"/>
      <c r="AW55" s="90"/>
      <c r="AX55" s="90"/>
      <c r="AY55" s="90"/>
      <c r="AZ55" s="90"/>
      <c r="BA55" s="90"/>
      <c r="BB55" s="90"/>
      <c r="BC55" s="90"/>
      <c r="BD55" s="90"/>
      <c r="BE55" s="90"/>
      <c r="BF55" s="90"/>
      <c r="BG55" s="90"/>
      <c r="BH55" s="90"/>
      <c r="BI55" s="90"/>
      <c r="BJ55" s="90"/>
      <c r="BK55" s="90"/>
      <c r="BL55" s="90"/>
      <c r="BM55" s="90"/>
      <c r="BN55" s="90"/>
      <c r="BO55" s="90"/>
      <c r="BP55" s="90"/>
      <c r="BQ55" s="90"/>
      <c r="BR55" s="90"/>
    </row>
    <row r="56" spans="1:70" x14ac:dyDescent="0.3">
      <c r="A56" s="108" t="s">
        <v>88</v>
      </c>
      <c r="B56" s="135">
        <f>F56*E56</f>
        <v>14741</v>
      </c>
      <c r="C56" s="135">
        <f>E56-D56-B56</f>
        <v>0</v>
      </c>
      <c r="D56" s="135">
        <f>E56-B56</f>
        <v>0</v>
      </c>
      <c r="E56" s="133">
        <f>11415+3326</f>
        <v>14741</v>
      </c>
      <c r="F56" s="351">
        <v>1</v>
      </c>
      <c r="G56" s="186"/>
      <c r="I56" s="62" t="s">
        <v>322</v>
      </c>
      <c r="J56" s="297">
        <v>241432</v>
      </c>
      <c r="K56" s="112">
        <f>J56/$J$59</f>
        <v>3.3939520031713924E-2</v>
      </c>
      <c r="L56" s="316"/>
      <c r="M56" s="135"/>
      <c r="N56" s="133"/>
      <c r="O56" s="133"/>
      <c r="P56" s="139"/>
      <c r="Q56" s="212"/>
      <c r="AM56" s="90"/>
      <c r="AN56" s="90"/>
      <c r="AO56" s="90"/>
      <c r="AP56" s="90"/>
      <c r="AQ56" s="90"/>
      <c r="AR56" s="157"/>
      <c r="AS56" s="90"/>
      <c r="AT56" s="90"/>
      <c r="AU56" s="90"/>
      <c r="AV56" s="90"/>
      <c r="AW56" s="90"/>
      <c r="AX56" s="90"/>
      <c r="AY56" s="90"/>
      <c r="AZ56" s="90"/>
      <c r="BA56" s="90"/>
      <c r="BB56" s="90"/>
      <c r="BC56" s="90"/>
      <c r="BD56" s="90"/>
      <c r="BE56" s="90"/>
      <c r="BF56" s="90"/>
      <c r="BG56" s="90"/>
      <c r="BH56" s="90"/>
      <c r="BI56" s="90"/>
      <c r="BJ56" s="90"/>
      <c r="BK56" s="90"/>
      <c r="BL56" s="90"/>
      <c r="BM56" s="90"/>
      <c r="BN56" s="90"/>
      <c r="BO56" s="90"/>
      <c r="BP56" s="90"/>
      <c r="BQ56" s="90"/>
      <c r="BR56" s="90"/>
    </row>
    <row r="57" spans="1:70" x14ac:dyDescent="0.3">
      <c r="A57" s="108" t="s">
        <v>89</v>
      </c>
      <c r="B57" s="135">
        <f>F57*E57</f>
        <v>33981</v>
      </c>
      <c r="C57" s="135">
        <f>E57-D57-B57</f>
        <v>0</v>
      </c>
      <c r="D57" s="135">
        <f>E57-B57</f>
        <v>0</v>
      </c>
      <c r="E57" s="133">
        <v>33981</v>
      </c>
      <c r="F57" s="351">
        <v>1</v>
      </c>
      <c r="G57" s="186"/>
      <c r="I57" s="62" t="s">
        <v>323</v>
      </c>
      <c r="J57" s="297">
        <v>612301</v>
      </c>
      <c r="K57" s="112">
        <f>J57/$J$59</f>
        <v>8.6074762479449562E-2</v>
      </c>
      <c r="L57" s="316"/>
      <c r="M57" s="135"/>
      <c r="N57" s="133"/>
      <c r="O57" s="133"/>
      <c r="P57" s="139"/>
      <c r="Q57" s="212"/>
      <c r="AM57" s="90"/>
      <c r="AN57" s="90"/>
      <c r="AO57" s="90"/>
      <c r="AP57" s="90"/>
      <c r="AQ57" s="90"/>
      <c r="AR57" s="157"/>
      <c r="AS57" s="90"/>
      <c r="AT57" s="90"/>
      <c r="AU57" s="90"/>
      <c r="AV57" s="90"/>
      <c r="AW57" s="90"/>
      <c r="AX57" s="90"/>
      <c r="AY57" s="90"/>
      <c r="AZ57" s="90"/>
      <c r="BA57" s="90"/>
      <c r="BB57" s="90"/>
      <c r="BC57" s="90"/>
      <c r="BD57" s="90"/>
      <c r="BE57" s="90"/>
      <c r="BF57" s="90"/>
      <c r="BG57" s="90"/>
      <c r="BH57" s="90"/>
      <c r="BI57" s="90"/>
      <c r="BJ57" s="90"/>
      <c r="BK57" s="90"/>
      <c r="BL57" s="90"/>
      <c r="BM57" s="90"/>
      <c r="BN57" s="90"/>
      <c r="BO57" s="90"/>
      <c r="BP57" s="90"/>
      <c r="BQ57" s="90"/>
      <c r="BR57" s="90"/>
    </row>
    <row r="58" spans="1:70" x14ac:dyDescent="0.3">
      <c r="A58" s="108" t="s">
        <v>311</v>
      </c>
      <c r="B58" s="135">
        <f>F58*E58</f>
        <v>0</v>
      </c>
      <c r="C58" s="135">
        <f t="shared" si="15"/>
        <v>0</v>
      </c>
      <c r="D58" s="135">
        <f t="shared" ref="D58" si="16">E58-B58</f>
        <v>368372</v>
      </c>
      <c r="E58" s="133">
        <v>368372</v>
      </c>
      <c r="F58" s="351">
        <v>0</v>
      </c>
      <c r="G58" s="285"/>
      <c r="I58" s="62" t="s">
        <v>316</v>
      </c>
      <c r="J58" s="297">
        <v>346577</v>
      </c>
      <c r="K58" s="112">
        <f>J58/$J$59</f>
        <v>4.8720372751049221E-2</v>
      </c>
      <c r="L58" s="317"/>
      <c r="M58" s="214"/>
      <c r="N58" s="72"/>
      <c r="O58" s="72"/>
      <c r="P58" s="215"/>
      <c r="AM58" s="90"/>
      <c r="AN58" s="90"/>
      <c r="AO58" s="90"/>
      <c r="AP58" s="90"/>
      <c r="AQ58" s="90"/>
      <c r="AR58" s="157"/>
      <c r="AS58" s="90"/>
      <c r="AT58" s="90"/>
      <c r="AU58" s="90"/>
      <c r="AV58" s="90"/>
      <c r="AW58" s="90"/>
      <c r="AX58" s="90"/>
      <c r="AY58" s="90"/>
      <c r="AZ58" s="90"/>
      <c r="BA58" s="90"/>
      <c r="BB58" s="90"/>
      <c r="BC58" s="90"/>
      <c r="BD58" s="90"/>
      <c r="BE58" s="90"/>
      <c r="BF58" s="90"/>
      <c r="BG58" s="90"/>
      <c r="BH58" s="90"/>
      <c r="BI58" s="90"/>
      <c r="BJ58" s="90"/>
      <c r="BK58" s="90"/>
      <c r="BL58" s="90"/>
      <c r="BM58" s="90"/>
      <c r="BN58" s="90"/>
      <c r="BO58" s="90"/>
      <c r="BP58" s="90"/>
      <c r="BQ58" s="90"/>
      <c r="BR58" s="90"/>
    </row>
    <row r="59" spans="1:70" x14ac:dyDescent="0.3">
      <c r="A59" s="109" t="s">
        <v>304</v>
      </c>
      <c r="B59" s="109">
        <f>SUM(B36:B58)</f>
        <v>195502.14092612086</v>
      </c>
      <c r="C59" s="109">
        <f>SUM(C36:C58)</f>
        <v>120468.94787193151</v>
      </c>
      <c r="D59" s="109">
        <f>SUM(D36:D58)</f>
        <v>719005.9112019476</v>
      </c>
      <c r="E59" s="109">
        <f>SUM(E36:E58)</f>
        <v>1034977</v>
      </c>
      <c r="F59" s="139">
        <f>B59/E59</f>
        <v>0.18889515508665494</v>
      </c>
      <c r="G59" s="299"/>
      <c r="H59" s="216"/>
      <c r="I59" s="300" t="s">
        <v>326</v>
      </c>
      <c r="J59" s="302">
        <f>SUM(J53:J58)</f>
        <v>7113595</v>
      </c>
      <c r="K59" s="112">
        <f>SUM(K53:K58)</f>
        <v>1</v>
      </c>
      <c r="L59" s="85" t="s">
        <v>275</v>
      </c>
      <c r="M59" s="124"/>
      <c r="N59" s="124"/>
      <c r="O59" s="124"/>
      <c r="P59" s="184"/>
      <c r="AM59" s="90"/>
      <c r="AN59" s="90"/>
      <c r="AO59" s="90"/>
      <c r="AP59" s="90"/>
      <c r="AQ59" s="90"/>
      <c r="AR59" s="157"/>
      <c r="AS59" s="90"/>
      <c r="AT59" s="90"/>
      <c r="AU59" s="90"/>
      <c r="AV59" s="90"/>
      <c r="AW59" s="90"/>
      <c r="AX59" s="90"/>
      <c r="AY59" s="90"/>
      <c r="AZ59" s="90"/>
      <c r="BA59" s="90"/>
      <c r="BB59" s="90"/>
      <c r="BC59" s="90"/>
      <c r="BD59" s="90"/>
      <c r="BE59" s="90"/>
      <c r="BF59" s="90"/>
      <c r="BG59" s="90"/>
      <c r="BH59" s="90"/>
      <c r="BI59" s="90"/>
      <c r="BJ59" s="90"/>
      <c r="BK59" s="90"/>
      <c r="BL59" s="90"/>
      <c r="BM59" s="90"/>
      <c r="BN59" s="90"/>
      <c r="BO59" s="90"/>
      <c r="BP59" s="90"/>
      <c r="BQ59" s="90"/>
      <c r="BR59" s="90"/>
    </row>
    <row r="60" spans="1:70" x14ac:dyDescent="0.3">
      <c r="A60" s="108" t="s">
        <v>335</v>
      </c>
      <c r="B60" s="135">
        <f>F60*E60</f>
        <v>0</v>
      </c>
      <c r="C60" s="135">
        <f>E60-D60-B60</f>
        <v>0</v>
      </c>
      <c r="D60" s="135">
        <f>E60-B60</f>
        <v>1737674</v>
      </c>
      <c r="E60" s="133">
        <v>1737674</v>
      </c>
      <c r="F60" s="351">
        <v>0</v>
      </c>
      <c r="G60" s="285"/>
      <c r="H60" s="255"/>
      <c r="I60" s="115"/>
      <c r="J60" s="115"/>
      <c r="K60" s="115"/>
      <c r="L60" s="124"/>
      <c r="M60" s="124"/>
      <c r="N60" s="124"/>
      <c r="O60" s="124"/>
      <c r="P60" s="184"/>
      <c r="AM60" s="90"/>
      <c r="AN60" s="90"/>
      <c r="AO60" s="90"/>
      <c r="AP60" s="90"/>
      <c r="AQ60" s="90"/>
      <c r="AR60" s="157"/>
      <c r="AS60" s="90"/>
      <c r="AT60" s="90"/>
      <c r="AU60" s="90"/>
      <c r="AV60" s="90"/>
      <c r="AW60" s="90"/>
      <c r="AX60" s="90"/>
      <c r="AY60" s="90"/>
      <c r="AZ60" s="90"/>
      <c r="BA60" s="90"/>
      <c r="BB60" s="90"/>
      <c r="BC60" s="90"/>
      <c r="BD60" s="90"/>
      <c r="BE60" s="90"/>
      <c r="BF60" s="90"/>
      <c r="BG60" s="90"/>
      <c r="BH60" s="90"/>
      <c r="BI60" s="90"/>
      <c r="BJ60" s="90"/>
      <c r="BK60" s="90"/>
      <c r="BL60" s="90"/>
      <c r="BM60" s="90"/>
      <c r="BN60" s="90"/>
      <c r="BO60" s="90"/>
      <c r="BP60" s="90"/>
      <c r="BQ60" s="90"/>
      <c r="BR60" s="90"/>
    </row>
    <row r="61" spans="1:70" x14ac:dyDescent="0.3">
      <c r="A61" s="108" t="s">
        <v>316</v>
      </c>
      <c r="B61" s="135"/>
      <c r="C61" s="135"/>
      <c r="D61" s="135"/>
      <c r="E61" s="135">
        <f>J46-E59-E60</f>
        <v>84943</v>
      </c>
      <c r="F61" s="351">
        <v>0</v>
      </c>
      <c r="G61" s="232"/>
      <c r="H61" s="255"/>
      <c r="I61" s="255"/>
      <c r="J61" s="115"/>
      <c r="K61" s="255"/>
      <c r="L61" s="124"/>
      <c r="M61" s="124"/>
      <c r="N61" s="124"/>
      <c r="O61" s="124"/>
      <c r="P61" s="184"/>
      <c r="AM61" s="90"/>
      <c r="AN61" s="90"/>
      <c r="AO61" s="90"/>
      <c r="AP61" s="90"/>
      <c r="AQ61" s="90"/>
      <c r="AR61" s="157"/>
      <c r="AS61" s="90"/>
      <c r="AT61" s="90"/>
      <c r="AU61" s="90"/>
      <c r="AV61" s="90"/>
      <c r="AW61" s="90"/>
      <c r="AX61" s="90"/>
      <c r="AY61" s="90"/>
      <c r="AZ61" s="90"/>
      <c r="BA61" s="90"/>
      <c r="BB61" s="90"/>
      <c r="BC61" s="90"/>
      <c r="BD61" s="90"/>
      <c r="BE61" s="90"/>
      <c r="BF61" s="90"/>
      <c r="BG61" s="90"/>
      <c r="BH61" s="90"/>
      <c r="BI61" s="90"/>
      <c r="BJ61" s="90"/>
      <c r="BK61" s="90"/>
      <c r="BL61" s="90"/>
      <c r="BM61" s="90"/>
      <c r="BN61" s="90"/>
      <c r="BO61" s="90"/>
      <c r="BP61" s="90"/>
      <c r="BQ61" s="90"/>
      <c r="BR61" s="90"/>
    </row>
    <row r="62" spans="1:70" x14ac:dyDescent="0.3">
      <c r="A62" s="109" t="s">
        <v>90</v>
      </c>
      <c r="B62" s="109">
        <f>SUM(B59:B60)</f>
        <v>195502.14092612086</v>
      </c>
      <c r="C62" s="109">
        <f>SUM(C59:C60)</f>
        <v>120468.94787193151</v>
      </c>
      <c r="D62" s="109">
        <f>SUM(D59:D60)</f>
        <v>2456679.9112019474</v>
      </c>
      <c r="E62" s="109">
        <f>SUM(E59:E61)</f>
        <v>2857594</v>
      </c>
      <c r="F62" s="213">
        <f>B62/E62</f>
        <v>6.8414946604073518E-2</v>
      </c>
      <c r="G62" s="232"/>
      <c r="H62" s="255"/>
      <c r="I62" s="115"/>
      <c r="J62" s="255"/>
      <c r="K62" s="115"/>
      <c r="L62" s="124"/>
      <c r="M62" s="124"/>
      <c r="N62" s="124"/>
      <c r="O62" s="124"/>
      <c r="P62" s="184"/>
      <c r="AM62" s="90"/>
      <c r="AN62" s="90"/>
      <c r="AO62" s="90"/>
      <c r="AP62" s="90"/>
      <c r="AQ62" s="90"/>
      <c r="AR62" s="157"/>
      <c r="AS62" s="90"/>
      <c r="AT62" s="90"/>
      <c r="AU62" s="90"/>
      <c r="AV62" s="90"/>
      <c r="AW62" s="90"/>
      <c r="AX62" s="90"/>
      <c r="AY62" s="90"/>
      <c r="AZ62" s="90"/>
      <c r="BA62" s="90"/>
      <c r="BB62" s="90"/>
      <c r="BC62" s="90"/>
      <c r="BD62" s="90"/>
      <c r="BE62" s="90"/>
      <c r="BF62" s="90"/>
      <c r="BG62" s="90"/>
      <c r="BH62" s="90"/>
      <c r="BI62" s="90"/>
      <c r="BJ62" s="90"/>
      <c r="BK62" s="90"/>
      <c r="BL62" s="90"/>
      <c r="BM62" s="90"/>
      <c r="BN62" s="90"/>
      <c r="BO62" s="90"/>
      <c r="BP62" s="90"/>
      <c r="BQ62" s="90"/>
      <c r="BR62" s="90"/>
    </row>
    <row r="63" spans="1:70" x14ac:dyDescent="0.3">
      <c r="A63" s="85" t="s">
        <v>275</v>
      </c>
      <c r="G63" s="232"/>
      <c r="L63" s="124"/>
      <c r="M63" s="124"/>
      <c r="N63" s="124"/>
      <c r="O63" s="124"/>
      <c r="P63" s="184"/>
      <c r="Q63" s="1"/>
      <c r="Z63" s="1"/>
      <c r="AA63" s="1"/>
      <c r="AM63" s="90"/>
      <c r="AN63" s="90"/>
      <c r="AO63" s="90"/>
      <c r="AP63" s="90"/>
      <c r="AQ63" s="90"/>
      <c r="AR63" s="157"/>
      <c r="AS63" s="90"/>
      <c r="AT63" s="90"/>
      <c r="AU63" s="90"/>
      <c r="AV63" s="90"/>
      <c r="AW63" s="90"/>
      <c r="AX63" s="90"/>
      <c r="AY63" s="90"/>
      <c r="AZ63" s="90"/>
      <c r="BA63" s="90"/>
      <c r="BB63" s="90"/>
      <c r="BC63" s="90"/>
      <c r="BD63" s="90"/>
      <c r="BE63" s="90"/>
      <c r="BF63" s="90"/>
      <c r="BG63" s="90"/>
      <c r="BH63" s="90"/>
      <c r="BI63" s="90"/>
      <c r="BJ63" s="90"/>
      <c r="BK63" s="90"/>
      <c r="BL63" s="90"/>
      <c r="BM63" s="90"/>
      <c r="BN63" s="90"/>
      <c r="BO63" s="90"/>
      <c r="BP63" s="90"/>
      <c r="BQ63" s="90"/>
      <c r="BR63" s="90"/>
    </row>
    <row r="64" spans="1:70" x14ac:dyDescent="0.3">
      <c r="L64" s="7"/>
      <c r="M64" s="7"/>
      <c r="N64" s="7"/>
      <c r="O64" s="7"/>
      <c r="T64" s="89"/>
      <c r="U64" s="89"/>
      <c r="V64" s="1"/>
      <c r="W64" s="183"/>
      <c r="Y64" s="74"/>
      <c r="Z64" s="157"/>
      <c r="AJ64" s="90"/>
      <c r="AK64" s="90"/>
      <c r="AL64" s="90"/>
      <c r="AM64" s="90"/>
      <c r="AN64" s="90"/>
      <c r="AO64" s="90"/>
      <c r="AP64" s="90"/>
      <c r="AQ64" s="90"/>
      <c r="AR64" s="90"/>
      <c r="AS64" s="157"/>
      <c r="AT64" s="90"/>
      <c r="AU64" s="90"/>
      <c r="AV64" s="90"/>
      <c r="AW64" s="90"/>
      <c r="AX64" s="90"/>
      <c r="AY64" s="90"/>
      <c r="AZ64" s="90"/>
      <c r="BA64" s="90"/>
      <c r="BB64" s="90"/>
      <c r="BC64" s="90"/>
      <c r="BD64" s="90"/>
      <c r="BE64" s="90"/>
      <c r="BF64" s="90"/>
      <c r="BG64" s="90"/>
      <c r="BH64" s="90"/>
      <c r="BI64" s="90"/>
      <c r="BJ64" s="90"/>
      <c r="BK64" s="90"/>
      <c r="BL64" s="90"/>
      <c r="BM64" s="90"/>
      <c r="BN64" s="90"/>
      <c r="BO64" s="90"/>
      <c r="BP64" s="90"/>
      <c r="BQ64" s="90"/>
      <c r="BR64" s="90"/>
    </row>
    <row r="65" spans="1:70" s="1" customFormat="1" ht="28.8" x14ac:dyDescent="0.3">
      <c r="A65" s="417" t="s">
        <v>295</v>
      </c>
      <c r="B65" s="367"/>
      <c r="C65" s="10">
        <v>2010</v>
      </c>
      <c r="D65" s="416">
        <v>2011</v>
      </c>
      <c r="E65" s="416">
        <v>2012</v>
      </c>
      <c r="F65" s="416">
        <v>2013</v>
      </c>
      <c r="G65" s="416">
        <v>2014</v>
      </c>
      <c r="H65" s="416">
        <v>2015</v>
      </c>
      <c r="I65" s="416">
        <v>2016</v>
      </c>
      <c r="J65" s="416">
        <v>2017</v>
      </c>
      <c r="K65" s="416">
        <v>2018</v>
      </c>
      <c r="L65" s="416">
        <v>2019</v>
      </c>
      <c r="M65" s="416">
        <v>2020</v>
      </c>
      <c r="N65" s="416">
        <v>2021</v>
      </c>
      <c r="O65" s="416">
        <v>2022</v>
      </c>
      <c r="P65" s="416">
        <v>2023</v>
      </c>
      <c r="Q65" s="416">
        <v>2024</v>
      </c>
      <c r="R65" s="416">
        <v>2025</v>
      </c>
      <c r="S65" s="416">
        <v>2026</v>
      </c>
      <c r="T65" s="416">
        <v>2027</v>
      </c>
      <c r="U65" s="416">
        <v>2028</v>
      </c>
      <c r="V65" s="416">
        <v>2029</v>
      </c>
      <c r="W65" s="498" t="s">
        <v>537</v>
      </c>
      <c r="X65" s="498" t="s">
        <v>538</v>
      </c>
      <c r="Y65" s="157"/>
      <c r="Z65" s="157"/>
      <c r="AJ65" s="157"/>
      <c r="AK65" s="157"/>
      <c r="AL65" s="157"/>
      <c r="AM65" s="157"/>
      <c r="AN65" s="157"/>
      <c r="AO65" s="157"/>
      <c r="AP65" s="157"/>
      <c r="AQ65" s="157"/>
      <c r="AR65" s="90"/>
      <c r="AS65" s="157"/>
      <c r="AT65" s="157"/>
      <c r="AU65" s="157"/>
      <c r="AV65" s="157"/>
      <c r="AW65" s="157"/>
      <c r="AX65" s="157"/>
      <c r="AY65" s="157"/>
      <c r="AZ65" s="157"/>
      <c r="BA65" s="350"/>
      <c r="BB65" s="157"/>
      <c r="BC65" s="157"/>
      <c r="BD65" s="157"/>
      <c r="BE65" s="157"/>
      <c r="BF65" s="157"/>
      <c r="BG65" s="350"/>
      <c r="BH65" s="157"/>
      <c r="BI65" s="157"/>
      <c r="BJ65" s="157"/>
      <c r="BK65" s="157"/>
      <c r="BL65" s="157"/>
      <c r="BM65" s="157"/>
      <c r="BN65" s="157"/>
      <c r="BO65" s="157"/>
      <c r="BP65" s="157"/>
      <c r="BQ65" s="157"/>
      <c r="BR65" s="157"/>
    </row>
    <row r="66" spans="1:70" s="1" customFormat="1" x14ac:dyDescent="0.3">
      <c r="A66" s="10" t="s">
        <v>395</v>
      </c>
      <c r="B66" s="11" t="s">
        <v>294</v>
      </c>
      <c r="C66" s="413">
        <v>7578078</v>
      </c>
      <c r="D66" s="413">
        <v>7634223</v>
      </c>
      <c r="E66" s="413">
        <v>7695264</v>
      </c>
      <c r="F66" s="413">
        <v>7757595</v>
      </c>
      <c r="G66" s="413">
        <v>7820966</v>
      </c>
      <c r="H66" s="413">
        <v>7877698</v>
      </c>
      <c r="I66" s="413">
        <v>7916889</v>
      </c>
      <c r="J66" s="413">
        <v>7948287</v>
      </c>
      <c r="K66" s="413">
        <v>7994459</v>
      </c>
      <c r="L66" s="413">
        <v>8042936</v>
      </c>
      <c r="M66" s="413">
        <v>8078652</v>
      </c>
      <c r="N66" s="413">
        <v>8113907</v>
      </c>
      <c r="O66" s="413">
        <v>8156391</v>
      </c>
      <c r="P66" s="414">
        <v>8197325</v>
      </c>
      <c r="Q66" s="414"/>
      <c r="R66" s="414"/>
      <c r="S66" s="414"/>
      <c r="T66" s="413"/>
      <c r="U66" s="413"/>
      <c r="V66" s="414"/>
      <c r="W66" s="415">
        <v>8367800</v>
      </c>
      <c r="X66" s="455">
        <f>W66</f>
        <v>8367800</v>
      </c>
      <c r="Y66" s="74"/>
      <c r="Z66" s="285"/>
      <c r="AJ66" s="157"/>
      <c r="AK66" s="157"/>
      <c r="AL66" s="74"/>
      <c r="AM66" s="74"/>
      <c r="AN66" s="74"/>
      <c r="AO66" s="74"/>
      <c r="AP66" s="74"/>
      <c r="AQ66" s="74"/>
      <c r="AR66" s="157"/>
      <c r="AS66" s="74"/>
      <c r="AT66" s="74"/>
      <c r="AU66" s="74"/>
      <c r="AV66" s="74"/>
      <c r="AW66" s="74"/>
      <c r="AX66" s="74"/>
      <c r="AY66" s="74"/>
      <c r="AZ66" s="74"/>
      <c r="BA66" s="157"/>
      <c r="BB66" s="74"/>
      <c r="BC66" s="74"/>
      <c r="BD66" s="74"/>
      <c r="BE66" s="74"/>
      <c r="BF66" s="74"/>
      <c r="BG66" s="157"/>
      <c r="BH66" s="57"/>
      <c r="BI66" s="57"/>
      <c r="BJ66" s="57"/>
      <c r="BK66" s="57"/>
      <c r="BL66" s="232"/>
      <c r="BM66" s="157"/>
      <c r="BN66" s="157"/>
      <c r="BO66" s="157"/>
      <c r="BP66" s="157"/>
      <c r="BQ66" s="157"/>
      <c r="BR66" s="157"/>
    </row>
    <row r="67" spans="1:70" s="1" customFormat="1" x14ac:dyDescent="0.3">
      <c r="A67" s="22"/>
      <c r="B67" s="71" t="s">
        <v>392</v>
      </c>
      <c r="C67" s="88">
        <v>226811</v>
      </c>
      <c r="D67" s="74">
        <v>222539</v>
      </c>
      <c r="E67" s="74">
        <v>228305</v>
      </c>
      <c r="F67" s="74">
        <v>231752</v>
      </c>
      <c r="G67" s="74">
        <v>218603</v>
      </c>
      <c r="H67" s="74">
        <v>227908</v>
      </c>
      <c r="I67" s="74">
        <v>240485</v>
      </c>
      <c r="J67" s="74">
        <v>219259</v>
      </c>
      <c r="K67" s="74">
        <v>217159</v>
      </c>
      <c r="L67" s="74">
        <v>217219</v>
      </c>
      <c r="M67" s="74">
        <v>200045</v>
      </c>
      <c r="N67" s="74">
        <v>222495</v>
      </c>
      <c r="O67" s="74">
        <v>209330</v>
      </c>
      <c r="P67" s="74">
        <v>215340</v>
      </c>
      <c r="Q67" s="83"/>
      <c r="R67" s="83"/>
      <c r="S67" s="83"/>
      <c r="T67" s="74"/>
      <c r="U67" s="74"/>
      <c r="V67" s="83"/>
      <c r="W67" s="53">
        <f>AVERAGE(N67:P67)</f>
        <v>215721.66666666666</v>
      </c>
      <c r="X67" s="47">
        <f>W67</f>
        <v>215721.66666666666</v>
      </c>
      <c r="Y67" s="74"/>
      <c r="Z67" s="285"/>
      <c r="AJ67" s="157"/>
      <c r="AK67" s="157"/>
      <c r="AL67" s="74"/>
      <c r="AM67" s="74"/>
      <c r="AN67" s="74"/>
      <c r="AO67" s="74"/>
      <c r="AP67" s="74"/>
      <c r="AQ67" s="74"/>
      <c r="AR67" s="157"/>
      <c r="AS67" s="74"/>
      <c r="AT67" s="74"/>
      <c r="AU67" s="74"/>
      <c r="AV67" s="74"/>
      <c r="AW67" s="74"/>
      <c r="AX67" s="74"/>
      <c r="AY67" s="74"/>
      <c r="AZ67" s="74"/>
      <c r="BA67" s="157"/>
      <c r="BB67" s="74"/>
      <c r="BC67" s="74"/>
      <c r="BD67" s="74"/>
      <c r="BE67" s="74"/>
      <c r="BF67" s="74"/>
      <c r="BG67" s="157"/>
      <c r="BH67" s="57"/>
      <c r="BI67" s="57"/>
      <c r="BJ67" s="57"/>
      <c r="BK67" s="57"/>
      <c r="BL67" s="232"/>
      <c r="BM67" s="157"/>
      <c r="BN67" s="157"/>
      <c r="BO67" s="157"/>
      <c r="BP67" s="157"/>
      <c r="BQ67" s="157"/>
      <c r="BR67" s="157"/>
    </row>
    <row r="68" spans="1:70" s="3" customFormat="1" x14ac:dyDescent="0.3">
      <c r="A68" s="16"/>
      <c r="B68" s="47" t="s">
        <v>139</v>
      </c>
      <c r="C68" s="16">
        <f t="shared" ref="C68:V68" si="17">C67*$F$36</f>
        <v>83258.77897305091</v>
      </c>
      <c r="D68" s="47">
        <f t="shared" si="17"/>
        <v>81690.594432738159</v>
      </c>
      <c r="E68" s="47">
        <f t="shared" si="17"/>
        <v>83807.203060884989</v>
      </c>
      <c r="F68" s="47">
        <f t="shared" si="17"/>
        <v>85072.542974381722</v>
      </c>
      <c r="G68" s="47">
        <f t="shared" si="17"/>
        <v>80245.750249528675</v>
      </c>
      <c r="H68" s="47">
        <f t="shared" si="17"/>
        <v>83661.470555617168</v>
      </c>
      <c r="I68" s="47">
        <f t="shared" si="17"/>
        <v>88278.291005877792</v>
      </c>
      <c r="J68" s="47">
        <f t="shared" si="17"/>
        <v>80486.557613396915</v>
      </c>
      <c r="K68" s="47">
        <f t="shared" si="17"/>
        <v>79715.680381501603</v>
      </c>
      <c r="L68" s="47">
        <f t="shared" si="17"/>
        <v>79737.705445270039</v>
      </c>
      <c r="M68" s="47">
        <f t="shared" si="17"/>
        <v>73433.398025950984</v>
      </c>
      <c r="N68" s="47">
        <f t="shared" si="17"/>
        <v>81674.442719307975</v>
      </c>
      <c r="O68" s="47">
        <f t="shared" si="17"/>
        <v>76841.776644116675</v>
      </c>
      <c r="P68" s="47">
        <f t="shared" si="17"/>
        <v>79047.953864921816</v>
      </c>
      <c r="Q68" s="47">
        <f t="shared" si="17"/>
        <v>0</v>
      </c>
      <c r="R68" s="47">
        <f t="shared" si="17"/>
        <v>0</v>
      </c>
      <c r="S68" s="47">
        <f t="shared" si="17"/>
        <v>0</v>
      </c>
      <c r="T68" s="47">
        <f t="shared" si="17"/>
        <v>0</v>
      </c>
      <c r="U68" s="47">
        <f t="shared" si="17"/>
        <v>0</v>
      </c>
      <c r="V68" s="47">
        <f t="shared" si="17"/>
        <v>0</v>
      </c>
      <c r="W68" s="47">
        <f>AVERAGE(N68:P68)</f>
        <v>79188.057742782155</v>
      </c>
      <c r="X68" s="47">
        <f>W68</f>
        <v>79188.057742782155</v>
      </c>
      <c r="Y68" s="74"/>
      <c r="Z68" s="74"/>
      <c r="AJ68" s="157"/>
      <c r="AK68" s="74"/>
      <c r="AL68" s="74"/>
      <c r="AM68" s="74"/>
      <c r="AN68" s="74"/>
      <c r="AO68" s="74"/>
      <c r="AP68" s="74"/>
      <c r="AQ68" s="74"/>
      <c r="AR68" s="157"/>
      <c r="AS68" s="74"/>
      <c r="AT68" s="74"/>
      <c r="AU68" s="74"/>
      <c r="AV68" s="74"/>
      <c r="AW68" s="74"/>
      <c r="AX68" s="74"/>
      <c r="AY68" s="74"/>
      <c r="AZ68" s="74"/>
      <c r="BA68" s="157"/>
      <c r="BB68" s="74"/>
      <c r="BC68" s="74"/>
      <c r="BD68" s="74"/>
      <c r="BE68" s="74"/>
      <c r="BF68" s="74"/>
      <c r="BG68" s="157"/>
      <c r="BH68" s="57"/>
      <c r="BI68" s="57"/>
      <c r="BJ68" s="57"/>
      <c r="BK68" s="57"/>
      <c r="BL68" s="232"/>
      <c r="BM68" s="74"/>
      <c r="BN68" s="74"/>
      <c r="BO68" s="74"/>
      <c r="BP68" s="74"/>
      <c r="BQ68" s="74"/>
      <c r="BR68" s="74"/>
    </row>
    <row r="69" spans="1:70" s="4" customFormat="1" x14ac:dyDescent="0.3">
      <c r="A69" s="14"/>
      <c r="B69" s="48" t="s">
        <v>2</v>
      </c>
      <c r="C69" s="411">
        <v>6.34</v>
      </c>
      <c r="D69" s="101">
        <v>5.55</v>
      </c>
      <c r="E69" s="101">
        <v>6.32</v>
      </c>
      <c r="F69" s="101">
        <v>6.24</v>
      </c>
      <c r="G69" s="101">
        <v>6.15</v>
      </c>
      <c r="H69" s="101">
        <v>6.07</v>
      </c>
      <c r="I69" s="101">
        <v>5.75</v>
      </c>
      <c r="J69" s="101">
        <v>6.21</v>
      </c>
      <c r="K69" s="101">
        <v>5.92</v>
      </c>
      <c r="L69" s="101">
        <v>5.83</v>
      </c>
      <c r="M69" s="101">
        <v>5.56</v>
      </c>
      <c r="N69" s="101">
        <v>6.05</v>
      </c>
      <c r="O69" s="101">
        <v>5.18</v>
      </c>
      <c r="P69" s="101">
        <v>6.17</v>
      </c>
      <c r="Q69" s="68"/>
      <c r="R69" s="68"/>
      <c r="S69" s="68"/>
      <c r="T69" s="57"/>
      <c r="U69" s="57"/>
      <c r="V69" s="68"/>
      <c r="W69" s="123">
        <v>5.64</v>
      </c>
      <c r="X69" s="92">
        <f>W69*(1+'Hypothèses production'!B2)</f>
        <v>5.64</v>
      </c>
      <c r="Y69" s="57"/>
      <c r="Z69" s="57"/>
      <c r="AJ69" s="157"/>
      <c r="AK69" s="57"/>
      <c r="AL69" s="57"/>
      <c r="AM69" s="57"/>
      <c r="AN69" s="57"/>
      <c r="AO69" s="57"/>
      <c r="AP69" s="57"/>
      <c r="AQ69" s="57"/>
      <c r="AR69" s="157"/>
      <c r="AS69" s="57"/>
      <c r="AT69" s="57"/>
      <c r="AU69" s="57"/>
      <c r="AV69" s="57"/>
      <c r="AW69" s="57"/>
      <c r="AX69" s="57"/>
      <c r="AY69" s="57"/>
      <c r="AZ69" s="57"/>
      <c r="BA69" s="157"/>
      <c r="BB69" s="74"/>
      <c r="BC69" s="74"/>
      <c r="BD69" s="74"/>
      <c r="BE69" s="74"/>
      <c r="BF69" s="57"/>
      <c r="BG69" s="157"/>
      <c r="BH69" s="57"/>
      <c r="BI69" s="57"/>
      <c r="BJ69" s="57"/>
      <c r="BK69" s="57"/>
      <c r="BL69" s="232"/>
      <c r="BM69" s="57"/>
      <c r="BN69" s="57"/>
      <c r="BO69" s="57"/>
      <c r="BP69" s="57"/>
      <c r="BQ69" s="57"/>
      <c r="BR69" s="57"/>
    </row>
    <row r="70" spans="1:70" s="3" customFormat="1" x14ac:dyDescent="0.3">
      <c r="A70" s="16" t="s">
        <v>1</v>
      </c>
      <c r="B70" s="47" t="s">
        <v>138</v>
      </c>
      <c r="C70" s="16">
        <f>C69*C68</f>
        <v>527860.65868914279</v>
      </c>
      <c r="D70" s="47">
        <f t="shared" ref="D70:V70" si="18">D69*D68</f>
        <v>453382.79910169676</v>
      </c>
      <c r="E70" s="47">
        <f t="shared" si="18"/>
        <v>529661.52334479312</v>
      </c>
      <c r="F70" s="47">
        <f t="shared" si="18"/>
        <v>530852.66816014191</v>
      </c>
      <c r="G70" s="47">
        <f t="shared" si="18"/>
        <v>493511.36403460137</v>
      </c>
      <c r="H70" s="47">
        <f t="shared" si="18"/>
        <v>507825.12627259624</v>
      </c>
      <c r="I70" s="47">
        <f t="shared" si="18"/>
        <v>507600.17328379728</v>
      </c>
      <c r="J70" s="47">
        <f t="shared" si="18"/>
        <v>499821.52277919481</v>
      </c>
      <c r="K70" s="47">
        <f t="shared" si="18"/>
        <v>471916.82785848947</v>
      </c>
      <c r="L70" s="47">
        <f t="shared" si="18"/>
        <v>464870.82274592435</v>
      </c>
      <c r="M70" s="47">
        <f t="shared" si="18"/>
        <v>408289.69302428747</v>
      </c>
      <c r="N70" s="47">
        <f t="shared" si="18"/>
        <v>494130.37845181325</v>
      </c>
      <c r="O70" s="47">
        <f t="shared" si="18"/>
        <v>398040.40301652433</v>
      </c>
      <c r="P70" s="47">
        <f t="shared" si="18"/>
        <v>487725.8753465676</v>
      </c>
      <c r="Q70" s="47">
        <f t="shared" si="18"/>
        <v>0</v>
      </c>
      <c r="R70" s="47">
        <f t="shared" si="18"/>
        <v>0</v>
      </c>
      <c r="S70" s="47">
        <f t="shared" si="18"/>
        <v>0</v>
      </c>
      <c r="T70" s="47">
        <f t="shared" si="18"/>
        <v>0</v>
      </c>
      <c r="U70" s="47">
        <f t="shared" si="18"/>
        <v>0</v>
      </c>
      <c r="V70" s="47">
        <f t="shared" si="18"/>
        <v>0</v>
      </c>
      <c r="W70" s="47">
        <f>W69*W68</f>
        <v>446620.64566929132</v>
      </c>
      <c r="X70" s="47">
        <f>X69*X68</f>
        <v>446620.64566929132</v>
      </c>
      <c r="Y70" s="74"/>
      <c r="Z70" s="74"/>
      <c r="AJ70" s="157"/>
      <c r="AK70" s="74"/>
      <c r="AL70" s="74"/>
      <c r="AM70" s="74"/>
      <c r="AN70" s="74"/>
      <c r="AO70" s="74"/>
      <c r="AP70" s="74"/>
      <c r="AQ70" s="74"/>
      <c r="AR70" s="157"/>
      <c r="AS70" s="74"/>
      <c r="AT70" s="74"/>
      <c r="AU70" s="74"/>
      <c r="AV70" s="509"/>
      <c r="AW70" s="232"/>
      <c r="AX70" s="74"/>
      <c r="AY70" s="74"/>
      <c r="AZ70" s="74"/>
      <c r="BA70" s="157"/>
      <c r="BB70" s="74"/>
      <c r="BC70" s="74"/>
      <c r="BD70" s="74"/>
      <c r="BE70" s="74"/>
      <c r="BF70" s="74"/>
      <c r="BG70" s="157"/>
      <c r="BH70" s="57"/>
      <c r="BI70" s="57"/>
      <c r="BJ70" s="57"/>
      <c r="BK70" s="57"/>
      <c r="BL70" s="232"/>
      <c r="BM70" s="74"/>
      <c r="BN70" s="74"/>
      <c r="BO70" s="74"/>
      <c r="BP70" s="74"/>
      <c r="BQ70" s="74"/>
      <c r="BR70" s="74"/>
    </row>
    <row r="71" spans="1:70" s="4" customFormat="1" x14ac:dyDescent="0.3">
      <c r="A71" s="14"/>
      <c r="B71" s="48" t="s">
        <v>296</v>
      </c>
      <c r="C71" s="20">
        <f t="shared" ref="C71:P71" si="19">C3</f>
        <v>92.9</v>
      </c>
      <c r="D71" s="49">
        <f t="shared" si="19"/>
        <v>92.6</v>
      </c>
      <c r="E71" s="49">
        <f t="shared" si="19"/>
        <v>91.9</v>
      </c>
      <c r="F71" s="49">
        <f t="shared" si="19"/>
        <v>91.4</v>
      </c>
      <c r="G71" s="49">
        <f t="shared" si="19"/>
        <v>93.9</v>
      </c>
      <c r="H71" s="49">
        <f t="shared" si="19"/>
        <v>90.9</v>
      </c>
      <c r="I71" s="49">
        <f t="shared" si="19"/>
        <v>90.7</v>
      </c>
      <c r="J71" s="49">
        <f t="shared" si="19"/>
        <v>91.6</v>
      </c>
      <c r="K71" s="49">
        <f t="shared" si="19"/>
        <v>90.3</v>
      </c>
      <c r="L71" s="49">
        <f t="shared" si="19"/>
        <v>89.7</v>
      </c>
      <c r="M71" s="49">
        <f t="shared" si="19"/>
        <v>89.7</v>
      </c>
      <c r="N71" s="49">
        <f t="shared" si="19"/>
        <v>92.8</v>
      </c>
      <c r="O71" s="49">
        <f t="shared" si="19"/>
        <v>92</v>
      </c>
      <c r="P71" s="49">
        <f t="shared" si="19"/>
        <v>91.875</v>
      </c>
      <c r="Q71" s="49">
        <f>$O$71+(2/8)*($W$71-$O$71)</f>
        <v>91.75</v>
      </c>
      <c r="R71" s="49">
        <f>$O$71+(3/8)*($W$71-$O$71)</f>
        <v>91.625</v>
      </c>
      <c r="S71" s="49">
        <f>$O$71+(4/8)*($W$71-$O$71)</f>
        <v>91.5</v>
      </c>
      <c r="T71" s="49">
        <f>$O$71+(5/8)*($W$71-$O$71)</f>
        <v>91.375</v>
      </c>
      <c r="U71" s="49">
        <f>$O$71+(6/8)*($W$71-$O$71)</f>
        <v>91.25</v>
      </c>
      <c r="V71" s="49">
        <f>$O$71+(7/8)*($W$71-$O$71)</f>
        <v>91.125</v>
      </c>
      <c r="W71" s="48">
        <f>W3</f>
        <v>91</v>
      </c>
      <c r="X71" s="48">
        <f>X3</f>
        <v>95.55</v>
      </c>
      <c r="Y71" s="57"/>
      <c r="Z71" s="57"/>
      <c r="AJ71" s="157"/>
      <c r="AK71" s="57"/>
      <c r="AL71" s="57"/>
      <c r="AM71" s="57"/>
      <c r="AN71" s="57"/>
      <c r="AO71" s="57"/>
      <c r="AP71" s="57"/>
      <c r="AQ71" s="57"/>
      <c r="AR71" s="157"/>
      <c r="AS71" s="57"/>
      <c r="AT71" s="57"/>
      <c r="AU71" s="57"/>
      <c r="AV71" s="57"/>
      <c r="AW71" s="57"/>
      <c r="AX71" s="57"/>
      <c r="AY71" s="57"/>
      <c r="AZ71" s="57"/>
      <c r="BA71" s="157"/>
      <c r="BB71" s="74"/>
      <c r="BC71" s="74"/>
      <c r="BD71" s="74"/>
      <c r="BE71" s="74"/>
      <c r="BF71" s="57"/>
      <c r="BG71" s="157"/>
      <c r="BH71" s="57"/>
      <c r="BI71" s="57"/>
      <c r="BJ71" s="57"/>
      <c r="BK71" s="57"/>
      <c r="BL71" s="232"/>
      <c r="BM71" s="57"/>
      <c r="BN71" s="57"/>
      <c r="BO71" s="57"/>
      <c r="BP71" s="57"/>
      <c r="BQ71" s="57"/>
      <c r="BR71" s="57"/>
    </row>
    <row r="72" spans="1:70" s="3" customFormat="1" x14ac:dyDescent="0.3">
      <c r="A72" s="16"/>
      <c r="B72" s="47" t="s">
        <v>297</v>
      </c>
      <c r="C72" s="16">
        <f t="shared" ref="C72:V72" si="20">C71*C66/1000</f>
        <v>704003.44620000001</v>
      </c>
      <c r="D72" s="47">
        <f t="shared" si="20"/>
        <v>706929.04979999992</v>
      </c>
      <c r="E72" s="47">
        <f t="shared" si="20"/>
        <v>707194.76159999997</v>
      </c>
      <c r="F72" s="47">
        <f t="shared" si="20"/>
        <v>709044.18299999996</v>
      </c>
      <c r="G72" s="47">
        <f t="shared" si="20"/>
        <v>734388.70740000007</v>
      </c>
      <c r="H72" s="47">
        <f t="shared" si="20"/>
        <v>716082.74820000003</v>
      </c>
      <c r="I72" s="47">
        <f t="shared" si="20"/>
        <v>718061.83230000013</v>
      </c>
      <c r="J72" s="47">
        <f t="shared" si="20"/>
        <v>728063.08919999993</v>
      </c>
      <c r="K72" s="47">
        <f t="shared" si="20"/>
        <v>721899.64769999997</v>
      </c>
      <c r="L72" s="47">
        <f t="shared" si="20"/>
        <v>721451.35920000006</v>
      </c>
      <c r="M72" s="47">
        <f t="shared" si="20"/>
        <v>724655.08439999993</v>
      </c>
      <c r="N72" s="47">
        <f t="shared" si="20"/>
        <v>752970.56960000005</v>
      </c>
      <c r="O72" s="47">
        <f t="shared" si="20"/>
        <v>750387.97199999995</v>
      </c>
      <c r="P72" s="47">
        <f t="shared" si="20"/>
        <v>753129.234375</v>
      </c>
      <c r="Q72" s="47">
        <f t="shared" si="20"/>
        <v>0</v>
      </c>
      <c r="R72" s="47">
        <f t="shared" si="20"/>
        <v>0</v>
      </c>
      <c r="S72" s="47">
        <f t="shared" si="20"/>
        <v>0</v>
      </c>
      <c r="T72" s="47">
        <f t="shared" si="20"/>
        <v>0</v>
      </c>
      <c r="U72" s="47">
        <f t="shared" si="20"/>
        <v>0</v>
      </c>
      <c r="V72" s="47">
        <f t="shared" si="20"/>
        <v>0</v>
      </c>
      <c r="W72" s="47">
        <f>W71*W66/1000</f>
        <v>761469.8</v>
      </c>
      <c r="X72" s="47">
        <f>X71*X66/1000</f>
        <v>799543.29</v>
      </c>
      <c r="Y72" s="74"/>
      <c r="Z72" s="74"/>
      <c r="AJ72" s="157"/>
      <c r="AK72" s="74"/>
      <c r="AL72" s="74"/>
      <c r="AM72" s="74"/>
      <c r="AN72" s="74"/>
      <c r="AO72" s="74"/>
      <c r="AP72" s="74"/>
      <c r="AQ72" s="74"/>
      <c r="AR72" s="157"/>
      <c r="AS72" s="74"/>
      <c r="AT72" s="74"/>
      <c r="AU72" s="74"/>
      <c r="AV72" s="74"/>
      <c r="AW72" s="157"/>
      <c r="AX72" s="158"/>
      <c r="AY72" s="158"/>
      <c r="AZ72" s="158"/>
      <c r="BA72" s="157"/>
      <c r="BB72" s="74"/>
      <c r="BC72" s="74"/>
      <c r="BD72" s="74"/>
      <c r="BE72" s="74"/>
      <c r="BF72" s="158"/>
      <c r="BG72" s="157"/>
      <c r="BH72" s="57"/>
      <c r="BI72" s="57"/>
      <c r="BJ72" s="57"/>
      <c r="BK72" s="57"/>
      <c r="BL72" s="232"/>
      <c r="BM72" s="74"/>
      <c r="BN72" s="74"/>
      <c r="BO72" s="74"/>
      <c r="BP72" s="74"/>
      <c r="BQ72" s="74"/>
      <c r="BR72" s="74"/>
    </row>
    <row r="73" spans="1:70" s="6" customFormat="1" x14ac:dyDescent="0.3">
      <c r="A73" s="18"/>
      <c r="B73" s="203" t="s">
        <v>298</v>
      </c>
      <c r="C73" s="205">
        <f t="shared" ref="C73:V73" si="21">(C70-C72)/C69</f>
        <v>-27782.774055340255</v>
      </c>
      <c r="D73" s="181">
        <f t="shared" si="21"/>
        <v>-45684.009134829401</v>
      </c>
      <c r="E73" s="181">
        <f t="shared" si="21"/>
        <v>-28090.702255570701</v>
      </c>
      <c r="F73" s="181">
        <f t="shared" si="21"/>
        <v>-28556.332506387505</v>
      </c>
      <c r="G73" s="181">
        <f t="shared" si="21"/>
        <v>-39167.047701690841</v>
      </c>
      <c r="H73" s="181">
        <f t="shared" si="21"/>
        <v>-34309.328159374592</v>
      </c>
      <c r="I73" s="181">
        <f t="shared" si="21"/>
        <v>-36602.027654991798</v>
      </c>
      <c r="J73" s="181">
        <f t="shared" si="21"/>
        <v>-36753.875430081338</v>
      </c>
      <c r="K73" s="181">
        <f t="shared" si="21"/>
        <v>-42226.827675930828</v>
      </c>
      <c r="L73" s="181">
        <f t="shared" si="21"/>
        <v>-44010.383611333738</v>
      </c>
      <c r="M73" s="181">
        <f t="shared" si="21"/>
        <v>-56900.250247430304</v>
      </c>
      <c r="N73" s="181">
        <f t="shared" si="21"/>
        <v>-42783.502669121786</v>
      </c>
      <c r="O73" s="181">
        <f t="shared" si="21"/>
        <v>-68020.766213026189</v>
      </c>
      <c r="P73" s="181">
        <f t="shared" si="21"/>
        <v>-43015.131122922598</v>
      </c>
      <c r="Q73" s="181" t="e">
        <f t="shared" si="21"/>
        <v>#DIV/0!</v>
      </c>
      <c r="R73" s="181" t="e">
        <f t="shared" si="21"/>
        <v>#DIV/0!</v>
      </c>
      <c r="S73" s="181" t="e">
        <f t="shared" si="21"/>
        <v>#DIV/0!</v>
      </c>
      <c r="T73" s="181" t="e">
        <f t="shared" si="21"/>
        <v>#DIV/0!</v>
      </c>
      <c r="U73" s="181" t="e">
        <f t="shared" si="21"/>
        <v>#DIV/0!</v>
      </c>
      <c r="V73" s="181" t="e">
        <f t="shared" si="21"/>
        <v>#DIV/0!</v>
      </c>
      <c r="W73" s="181">
        <f>(W70-W72)/W69</f>
        <v>-55824.318143742683</v>
      </c>
      <c r="X73" s="181">
        <f>(X70-X72)/X69</f>
        <v>-62574.936938068924</v>
      </c>
      <c r="Y73" s="303"/>
      <c r="Z73" s="285"/>
      <c r="AJ73" s="157"/>
      <c r="AK73" s="124"/>
      <c r="AL73" s="121"/>
      <c r="AM73" s="121"/>
      <c r="AN73" s="121"/>
      <c r="AO73" s="121"/>
      <c r="AP73" s="121"/>
      <c r="AQ73" s="121"/>
      <c r="AR73" s="157"/>
      <c r="AS73" s="121"/>
      <c r="AT73" s="121"/>
      <c r="AU73" s="121"/>
      <c r="AV73" s="121"/>
      <c r="AW73" s="157"/>
      <c r="AX73" s="158"/>
      <c r="AY73" s="158"/>
      <c r="AZ73" s="158"/>
      <c r="BA73" s="157"/>
      <c r="BB73" s="74"/>
      <c r="BC73" s="74"/>
      <c r="BD73" s="74"/>
      <c r="BE73" s="74"/>
      <c r="BF73" s="158"/>
      <c r="BG73" s="157"/>
      <c r="BH73" s="57"/>
      <c r="BI73" s="57"/>
      <c r="BJ73" s="57"/>
      <c r="BK73" s="57"/>
      <c r="BL73" s="232"/>
      <c r="BM73" s="121"/>
      <c r="BN73" s="121"/>
      <c r="BO73" s="121"/>
      <c r="BP73" s="121"/>
      <c r="BQ73" s="121"/>
      <c r="BR73" s="121"/>
    </row>
    <row r="74" spans="1:70" s="6" customFormat="1" x14ac:dyDescent="0.3">
      <c r="A74" s="205"/>
      <c r="B74" s="70" t="s">
        <v>392</v>
      </c>
      <c r="C74" s="418">
        <v>10808</v>
      </c>
      <c r="D74" s="244">
        <v>9183</v>
      </c>
      <c r="E74" s="244">
        <v>9021</v>
      </c>
      <c r="F74" s="244">
        <v>7567</v>
      </c>
      <c r="G74" s="244">
        <v>6071</v>
      </c>
      <c r="H74" s="244">
        <v>7692</v>
      </c>
      <c r="I74" s="244">
        <v>10059</v>
      </c>
      <c r="J74" s="244">
        <v>10592</v>
      </c>
      <c r="K74" s="244">
        <v>11508</v>
      </c>
      <c r="L74" s="244">
        <v>8530</v>
      </c>
      <c r="M74" s="244">
        <v>7905</v>
      </c>
      <c r="N74" s="244">
        <v>9715</v>
      </c>
      <c r="O74" s="244">
        <v>9707</v>
      </c>
      <c r="P74" s="244">
        <v>9795</v>
      </c>
      <c r="Q74" s="244"/>
      <c r="R74" s="244"/>
      <c r="S74" s="244"/>
      <c r="T74" s="244"/>
      <c r="U74" s="244"/>
      <c r="V74" s="244"/>
      <c r="W74" s="247">
        <f>AVERAGE(N74:P74)</f>
        <v>9739</v>
      </c>
      <c r="X74" s="54">
        <f>W74</f>
        <v>9739</v>
      </c>
      <c r="Y74" s="303"/>
      <c r="Z74" s="303"/>
      <c r="AJ74" s="157"/>
      <c r="AK74" s="124"/>
      <c r="AL74" s="121"/>
      <c r="AM74" s="121"/>
      <c r="AN74" s="121"/>
      <c r="AO74" s="121"/>
      <c r="AP74" s="121"/>
      <c r="AQ74" s="121"/>
      <c r="AR74" s="157"/>
      <c r="AS74" s="121"/>
      <c r="AT74" s="121"/>
      <c r="AU74" s="121"/>
      <c r="AV74" s="121"/>
      <c r="AW74" s="157"/>
      <c r="AX74" s="158"/>
      <c r="AY74" s="158"/>
      <c r="AZ74" s="158"/>
      <c r="BA74" s="157"/>
      <c r="BB74" s="74"/>
      <c r="BC74" s="74"/>
      <c r="BD74" s="74"/>
      <c r="BE74" s="74"/>
      <c r="BF74" s="158"/>
      <c r="BG74" s="157"/>
      <c r="BH74" s="57"/>
      <c r="BI74" s="57"/>
      <c r="BJ74" s="57"/>
      <c r="BK74" s="57"/>
      <c r="BL74" s="232"/>
      <c r="BM74" s="121"/>
      <c r="BN74" s="121"/>
      <c r="BO74" s="121"/>
      <c r="BP74" s="121"/>
      <c r="BQ74" s="121"/>
      <c r="BR74" s="121"/>
    </row>
    <row r="75" spans="1:70" s="3" customFormat="1" x14ac:dyDescent="0.3">
      <c r="A75" s="16"/>
      <c r="B75" s="47" t="s">
        <v>139</v>
      </c>
      <c r="C75" s="16">
        <f t="shared" ref="C75:V75" si="22">C74*$F$37</f>
        <v>9816.1265822784808</v>
      </c>
      <c r="D75" s="47">
        <f t="shared" si="22"/>
        <v>8340.2563291139231</v>
      </c>
      <c r="E75" s="47">
        <f t="shared" si="22"/>
        <v>8193.1234177215192</v>
      </c>
      <c r="F75" s="47">
        <f t="shared" si="22"/>
        <v>6872.5601265822779</v>
      </c>
      <c r="G75" s="47">
        <f t="shared" si="22"/>
        <v>5513.8512658227846</v>
      </c>
      <c r="H75" s="47">
        <f t="shared" si="22"/>
        <v>6986.0886075949365</v>
      </c>
      <c r="I75" s="47">
        <f t="shared" si="22"/>
        <v>9135.8639240506327</v>
      </c>
      <c r="J75" s="47">
        <f t="shared" si="22"/>
        <v>9619.9493670886077</v>
      </c>
      <c r="K75" s="47">
        <f t="shared" si="22"/>
        <v>10451.886075949367</v>
      </c>
      <c r="L75" s="47">
        <f t="shared" si="22"/>
        <v>7747.1835443037971</v>
      </c>
      <c r="M75" s="47">
        <f t="shared" si="22"/>
        <v>7179.5411392405058</v>
      </c>
      <c r="N75" s="47">
        <f t="shared" si="22"/>
        <v>8823.4335443037962</v>
      </c>
      <c r="O75" s="47">
        <f t="shared" si="22"/>
        <v>8816.1677215189866</v>
      </c>
      <c r="P75" s="47">
        <f t="shared" si="22"/>
        <v>8896.0917721518981</v>
      </c>
      <c r="Q75" s="47">
        <f t="shared" si="22"/>
        <v>0</v>
      </c>
      <c r="R75" s="47">
        <f t="shared" si="22"/>
        <v>0</v>
      </c>
      <c r="S75" s="47">
        <f t="shared" si="22"/>
        <v>0</v>
      </c>
      <c r="T75" s="47">
        <f t="shared" si="22"/>
        <v>0</v>
      </c>
      <c r="U75" s="47">
        <f t="shared" si="22"/>
        <v>0</v>
      </c>
      <c r="V75" s="47">
        <f t="shared" si="22"/>
        <v>0</v>
      </c>
      <c r="W75" s="47">
        <f>AVERAGE(N75:P75)</f>
        <v>8845.2310126582288</v>
      </c>
      <c r="X75" s="47">
        <f>W75</f>
        <v>8845.2310126582288</v>
      </c>
      <c r="Y75" s="74"/>
      <c r="Z75" s="74"/>
      <c r="AJ75" s="157"/>
      <c r="AK75" s="124"/>
      <c r="AL75" s="74"/>
      <c r="AM75" s="74"/>
      <c r="AN75" s="74"/>
      <c r="AO75" s="74"/>
      <c r="AP75" s="74"/>
      <c r="AQ75" s="74"/>
      <c r="AR75" s="157"/>
      <c r="AS75" s="74"/>
      <c r="AT75" s="74"/>
      <c r="AU75" s="74"/>
      <c r="AV75" s="74"/>
      <c r="AW75" s="157"/>
      <c r="AX75" s="158"/>
      <c r="AY75" s="158"/>
      <c r="AZ75" s="158"/>
      <c r="BA75" s="157"/>
      <c r="BB75" s="74"/>
      <c r="BC75" s="74"/>
      <c r="BD75" s="74"/>
      <c r="BE75" s="74"/>
      <c r="BF75" s="158"/>
      <c r="BG75" s="157"/>
      <c r="BH75" s="74"/>
      <c r="BI75" s="74"/>
      <c r="BJ75" s="74"/>
      <c r="BK75" s="74"/>
      <c r="BL75" s="232"/>
      <c r="BM75" s="74"/>
      <c r="BN75" s="74"/>
      <c r="BO75" s="74"/>
      <c r="BP75" s="74"/>
      <c r="BQ75" s="74"/>
      <c r="BR75" s="74"/>
    </row>
    <row r="76" spans="1:70" s="4" customFormat="1" x14ac:dyDescent="0.3">
      <c r="A76" s="14"/>
      <c r="B76" s="48" t="s">
        <v>2</v>
      </c>
      <c r="C76" s="411">
        <v>5.04</v>
      </c>
      <c r="D76" s="101">
        <v>3.87</v>
      </c>
      <c r="E76" s="101">
        <v>5.24</v>
      </c>
      <c r="F76" s="101">
        <v>5.37</v>
      </c>
      <c r="G76" s="101">
        <v>4.5599999999999996</v>
      </c>
      <c r="H76" s="101">
        <v>5.32</v>
      </c>
      <c r="I76" s="101">
        <v>5.49</v>
      </c>
      <c r="J76" s="101">
        <v>6.17</v>
      </c>
      <c r="K76" s="101">
        <v>5.0199999999999996</v>
      </c>
      <c r="L76" s="101">
        <v>5.41</v>
      </c>
      <c r="M76" s="101">
        <v>5.35</v>
      </c>
      <c r="N76" s="101">
        <v>6.23</v>
      </c>
      <c r="O76" s="101">
        <v>5.62</v>
      </c>
      <c r="P76" s="101">
        <v>5.57</v>
      </c>
      <c r="Q76" s="101"/>
      <c r="R76" s="101"/>
      <c r="S76" s="101"/>
      <c r="T76" s="123"/>
      <c r="U76" s="123"/>
      <c r="V76" s="101"/>
      <c r="W76" s="123">
        <v>5.52</v>
      </c>
      <c r="X76" s="92">
        <f>W76*(1+'Hypothèses production'!B2)</f>
        <v>5.52</v>
      </c>
      <c r="Y76" s="57"/>
      <c r="Z76" s="57"/>
      <c r="AJ76" s="157"/>
      <c r="AK76" s="124"/>
      <c r="AL76" s="57"/>
      <c r="AM76" s="57"/>
      <c r="AN76" s="57"/>
      <c r="AO76" s="57"/>
      <c r="AP76" s="57"/>
      <c r="AQ76" s="57"/>
      <c r="AR76" s="157"/>
      <c r="AS76" s="57"/>
      <c r="AT76" s="57"/>
      <c r="AU76" s="57"/>
      <c r="AV76" s="57"/>
      <c r="AW76" s="157"/>
      <c r="AX76" s="158"/>
      <c r="AY76" s="158"/>
      <c r="AZ76" s="158"/>
      <c r="BA76" s="157"/>
      <c r="BB76" s="74"/>
      <c r="BC76" s="74"/>
      <c r="BD76" s="74"/>
      <c r="BE76" s="74"/>
      <c r="BF76" s="158"/>
      <c r="BG76" s="157"/>
      <c r="BH76" s="74"/>
      <c r="BI76" s="74"/>
      <c r="BJ76" s="74"/>
      <c r="BK76" s="74"/>
      <c r="BL76" s="232"/>
      <c r="BM76" s="57"/>
      <c r="BN76" s="57"/>
      <c r="BO76" s="57"/>
      <c r="BP76" s="57"/>
      <c r="BQ76" s="57"/>
      <c r="BR76" s="57"/>
    </row>
    <row r="77" spans="1:70" s="3" customFormat="1" x14ac:dyDescent="0.3">
      <c r="A77" s="58" t="s">
        <v>4</v>
      </c>
      <c r="B77" s="47" t="s">
        <v>138</v>
      </c>
      <c r="C77" s="16">
        <f>C76*C75</f>
        <v>49473.277974683544</v>
      </c>
      <c r="D77" s="47">
        <f t="shared" ref="D77" si="23">D76*D75</f>
        <v>32276.791993670882</v>
      </c>
      <c r="E77" s="47">
        <f t="shared" ref="E77" si="24">E76*E75</f>
        <v>42931.96670886076</v>
      </c>
      <c r="F77" s="47">
        <f t="shared" ref="F77" si="25">F76*F75</f>
        <v>36905.64787974683</v>
      </c>
      <c r="G77" s="47">
        <f t="shared" ref="G77" si="26">G76*G75</f>
        <v>25143.161772151896</v>
      </c>
      <c r="H77" s="47">
        <f t="shared" ref="H77" si="27">H76*H75</f>
        <v>37165.991392405063</v>
      </c>
      <c r="I77" s="47">
        <f t="shared" ref="I77" si="28">I76*I75</f>
        <v>50155.892943037972</v>
      </c>
      <c r="J77" s="47">
        <f t="shared" ref="J77" si="29">J76*J75</f>
        <v>59355.087594936711</v>
      </c>
      <c r="K77" s="47">
        <f t="shared" ref="K77" si="30">K76*K75</f>
        <v>52468.468101265818</v>
      </c>
      <c r="L77" s="47">
        <f t="shared" ref="L77" si="31">L76*L75</f>
        <v>41912.262974683545</v>
      </c>
      <c r="M77" s="47">
        <f t="shared" ref="M77" si="32">M76*M75</f>
        <v>38410.5450949367</v>
      </c>
      <c r="N77" s="47">
        <f t="shared" ref="N77" si="33">N76*N75</f>
        <v>54969.990981012656</v>
      </c>
      <c r="O77" s="47">
        <f t="shared" ref="O77:V77" si="34">O76*O75</f>
        <v>49546.862594936705</v>
      </c>
      <c r="P77" s="47">
        <f t="shared" si="34"/>
        <v>49551.231170886073</v>
      </c>
      <c r="Q77" s="47">
        <f t="shared" si="34"/>
        <v>0</v>
      </c>
      <c r="R77" s="47">
        <f t="shared" si="34"/>
        <v>0</v>
      </c>
      <c r="S77" s="47">
        <f t="shared" si="34"/>
        <v>0</v>
      </c>
      <c r="T77" s="47">
        <f t="shared" si="34"/>
        <v>0</v>
      </c>
      <c r="U77" s="47">
        <f t="shared" si="34"/>
        <v>0</v>
      </c>
      <c r="V77" s="47">
        <f t="shared" si="34"/>
        <v>0</v>
      </c>
      <c r="W77" s="47">
        <f t="shared" ref="W77:X77" si="35">W76*W75</f>
        <v>48825.675189873422</v>
      </c>
      <c r="X77" s="47">
        <f t="shared" si="35"/>
        <v>48825.675189873422</v>
      </c>
      <c r="Y77" s="74"/>
      <c r="Z77" s="74"/>
      <c r="AJ77" s="157"/>
      <c r="AK77" s="124"/>
      <c r="AL77" s="74"/>
      <c r="AM77" s="74"/>
      <c r="AN77" s="74"/>
      <c r="AO77" s="74"/>
      <c r="AP77" s="74"/>
      <c r="AQ77" s="74"/>
      <c r="AR77" s="157"/>
      <c r="AS77" s="74"/>
      <c r="AT77" s="74"/>
      <c r="AU77" s="74"/>
      <c r="AV77" s="509"/>
      <c r="AW77" s="232"/>
      <c r="AX77" s="158"/>
      <c r="AY77" s="158"/>
      <c r="AZ77" s="158"/>
      <c r="BA77" s="157"/>
      <c r="BB77" s="74"/>
      <c r="BC77" s="74"/>
      <c r="BD77" s="74"/>
      <c r="BE77" s="74"/>
      <c r="BF77" s="158"/>
      <c r="BG77" s="157"/>
      <c r="BH77" s="74"/>
      <c r="BI77" s="74"/>
      <c r="BJ77" s="74"/>
      <c r="BK77" s="74"/>
      <c r="BL77" s="232"/>
      <c r="BM77" s="74"/>
      <c r="BN77" s="74"/>
      <c r="BO77" s="74"/>
      <c r="BP77" s="74"/>
      <c r="BQ77" s="74"/>
      <c r="BR77" s="74"/>
    </row>
    <row r="78" spans="1:70" s="4" customFormat="1" x14ac:dyDescent="0.3">
      <c r="A78" s="14"/>
      <c r="B78" s="48" t="s">
        <v>296</v>
      </c>
      <c r="C78" s="20">
        <f t="shared" ref="C78:P78" si="36">C4</f>
        <v>15.2</v>
      </c>
      <c r="D78" s="49">
        <f t="shared" si="36"/>
        <v>15.5</v>
      </c>
      <c r="E78" s="49">
        <f t="shared" si="36"/>
        <v>15.2</v>
      </c>
      <c r="F78" s="49">
        <f t="shared" si="36"/>
        <v>16</v>
      </c>
      <c r="G78" s="49">
        <f t="shared" si="36"/>
        <v>15.8</v>
      </c>
      <c r="H78" s="49">
        <f t="shared" si="36"/>
        <v>15.8</v>
      </c>
      <c r="I78" s="49">
        <f t="shared" si="36"/>
        <v>15.6</v>
      </c>
      <c r="J78" s="49">
        <f t="shared" si="36"/>
        <v>16.3</v>
      </c>
      <c r="K78" s="49">
        <f t="shared" si="36"/>
        <v>16.399999999999999</v>
      </c>
      <c r="L78" s="49">
        <f t="shared" si="36"/>
        <v>13.8</v>
      </c>
      <c r="M78" s="49">
        <f t="shared" si="36"/>
        <v>16.2</v>
      </c>
      <c r="N78" s="49">
        <f t="shared" si="36"/>
        <v>16.7</v>
      </c>
      <c r="O78" s="49">
        <f t="shared" si="36"/>
        <v>16.7</v>
      </c>
      <c r="P78" s="49">
        <f t="shared" si="36"/>
        <v>16.712499999999999</v>
      </c>
      <c r="Q78" s="49">
        <f>$O$78+(2/8)*($W$78-$O$78)</f>
        <v>16.725000000000001</v>
      </c>
      <c r="R78" s="49">
        <f>$O$78+(3/8)*($W$78-$O$78)</f>
        <v>16.737500000000001</v>
      </c>
      <c r="S78" s="49">
        <f>$O$78+(4/8)*($W$78-$O$78)</f>
        <v>16.75</v>
      </c>
      <c r="T78" s="49">
        <f>$O$78+(5/8)*($W$78-$O$78)</f>
        <v>16.762499999999999</v>
      </c>
      <c r="U78" s="49">
        <f>$O$78+(6/8)*($W$78-$O$78)</f>
        <v>16.774999999999999</v>
      </c>
      <c r="V78" s="49">
        <f>$O$78+(7/8)*($W$78-$O$78)</f>
        <v>16.787500000000001</v>
      </c>
      <c r="W78" s="49">
        <f>W4</f>
        <v>16.8</v>
      </c>
      <c r="X78" s="48">
        <f>X4</f>
        <v>17.64</v>
      </c>
      <c r="Y78" s="240"/>
      <c r="Z78" s="240"/>
      <c r="AJ78" s="157"/>
      <c r="AK78" s="124"/>
      <c r="AL78" s="57"/>
      <c r="AM78" s="57"/>
      <c r="AN78" s="57"/>
      <c r="AO78" s="57"/>
      <c r="AP78" s="57"/>
      <c r="AQ78" s="57"/>
      <c r="AR78" s="157"/>
      <c r="AS78" s="57"/>
      <c r="AT78" s="57"/>
      <c r="AU78" s="57"/>
      <c r="AV78" s="57"/>
      <c r="AW78" s="157"/>
      <c r="AX78" s="158"/>
      <c r="AY78" s="158"/>
      <c r="AZ78" s="158"/>
      <c r="BA78" s="157"/>
      <c r="BB78" s="74"/>
      <c r="BC78" s="74"/>
      <c r="BD78" s="74"/>
      <c r="BE78" s="74"/>
      <c r="BF78" s="158"/>
      <c r="BG78" s="157"/>
      <c r="BH78" s="74"/>
      <c r="BI78" s="74"/>
      <c r="BJ78" s="74"/>
      <c r="BK78" s="74"/>
      <c r="BL78" s="232"/>
      <c r="BM78" s="57"/>
      <c r="BN78" s="57"/>
      <c r="BO78" s="57"/>
      <c r="BP78" s="57"/>
      <c r="BQ78" s="57"/>
      <c r="BR78" s="57"/>
    </row>
    <row r="79" spans="1:70" s="3" customFormat="1" x14ac:dyDescent="0.3">
      <c r="A79" s="16"/>
      <c r="B79" s="47" t="s">
        <v>297</v>
      </c>
      <c r="C79" s="16">
        <f t="shared" ref="C79:O79" si="37">C78*C66/1000</f>
        <v>115186.78559999999</v>
      </c>
      <c r="D79" s="47">
        <f t="shared" si="37"/>
        <v>118330.4565</v>
      </c>
      <c r="E79" s="47">
        <f t="shared" si="37"/>
        <v>116968.0128</v>
      </c>
      <c r="F79" s="47">
        <f t="shared" si="37"/>
        <v>124121.52</v>
      </c>
      <c r="G79" s="47">
        <f t="shared" si="37"/>
        <v>123571.26280000001</v>
      </c>
      <c r="H79" s="47">
        <f t="shared" si="37"/>
        <v>124467.6284</v>
      </c>
      <c r="I79" s="47">
        <f t="shared" si="37"/>
        <v>123503.4684</v>
      </c>
      <c r="J79" s="47">
        <f t="shared" si="37"/>
        <v>129557.07810000001</v>
      </c>
      <c r="K79" s="47">
        <f t="shared" si="37"/>
        <v>131109.12760000001</v>
      </c>
      <c r="L79" s="47">
        <f t="shared" si="37"/>
        <v>110992.51680000001</v>
      </c>
      <c r="M79" s="47">
        <f t="shared" si="37"/>
        <v>130874.16239999999</v>
      </c>
      <c r="N79" s="47">
        <f t="shared" si="37"/>
        <v>135502.2469</v>
      </c>
      <c r="O79" s="47">
        <f t="shared" si="37"/>
        <v>136211.7297</v>
      </c>
      <c r="P79" s="47">
        <f t="shared" ref="P79:V79" si="38">P78*P66/1000</f>
        <v>136997.7940625</v>
      </c>
      <c r="Q79" s="47">
        <f t="shared" si="38"/>
        <v>0</v>
      </c>
      <c r="R79" s="47">
        <f t="shared" si="38"/>
        <v>0</v>
      </c>
      <c r="S79" s="47">
        <f t="shared" si="38"/>
        <v>0</v>
      </c>
      <c r="T79" s="47">
        <f t="shared" si="38"/>
        <v>0</v>
      </c>
      <c r="U79" s="47">
        <f t="shared" si="38"/>
        <v>0</v>
      </c>
      <c r="V79" s="47">
        <f t="shared" si="38"/>
        <v>0</v>
      </c>
      <c r="W79" s="47">
        <f>W78*W66/1000</f>
        <v>140579.04</v>
      </c>
      <c r="X79" s="47">
        <f>X78*X66/1000</f>
        <v>147607.992</v>
      </c>
      <c r="Y79" s="74"/>
      <c r="Z79" s="74"/>
      <c r="AJ79" s="157"/>
      <c r="AK79" s="124"/>
      <c r="AL79" s="74"/>
      <c r="AM79" s="74"/>
      <c r="AN79" s="74"/>
      <c r="AO79" s="74"/>
      <c r="AP79" s="74"/>
      <c r="AQ79" s="74"/>
      <c r="AR79" s="157"/>
      <c r="AS79" s="74"/>
      <c r="AT79" s="74"/>
      <c r="AU79" s="74"/>
      <c r="AV79" s="74"/>
      <c r="AW79" s="157"/>
      <c r="AX79" s="158"/>
      <c r="AY79" s="158"/>
      <c r="AZ79" s="158"/>
      <c r="BA79" s="157"/>
      <c r="BB79" s="74"/>
      <c r="BC79" s="74"/>
      <c r="BD79" s="74"/>
      <c r="BE79" s="74"/>
      <c r="BF79" s="158"/>
      <c r="BG79" s="157"/>
      <c r="BH79" s="74"/>
      <c r="BI79" s="74"/>
      <c r="BJ79" s="74"/>
      <c r="BK79" s="74"/>
      <c r="BL79" s="232"/>
      <c r="BM79" s="74"/>
      <c r="BN79" s="74"/>
      <c r="BO79" s="74"/>
      <c r="BP79" s="74"/>
      <c r="BQ79" s="74"/>
      <c r="BR79" s="74"/>
    </row>
    <row r="80" spans="1:70" s="6" customFormat="1" x14ac:dyDescent="0.3">
      <c r="A80" s="205"/>
      <c r="B80" s="181" t="s">
        <v>298</v>
      </c>
      <c r="C80" s="205">
        <f t="shared" ref="C80:O80" si="39">(C77-C79)/C76</f>
        <v>-13038.394370102469</v>
      </c>
      <c r="D80" s="181">
        <f t="shared" si="39"/>
        <v>-22236.089019723287</v>
      </c>
      <c r="E80" s="181">
        <f t="shared" si="39"/>
        <v>-14129.016429606723</v>
      </c>
      <c r="F80" s="181">
        <f t="shared" si="39"/>
        <v>-16241.31696838979</v>
      </c>
      <c r="G80" s="181">
        <f t="shared" si="39"/>
        <v>-21585.109874528098</v>
      </c>
      <c r="H80" s="181">
        <f t="shared" si="39"/>
        <v>-16410.082144284763</v>
      </c>
      <c r="I80" s="181">
        <f t="shared" si="39"/>
        <v>-13360.214108736251</v>
      </c>
      <c r="J80" s="181">
        <f t="shared" si="39"/>
        <v>-11377.956321728248</v>
      </c>
      <c r="K80" s="181">
        <f t="shared" si="39"/>
        <v>-15665.470019668168</v>
      </c>
      <c r="L80" s="181">
        <f t="shared" si="39"/>
        <v>-12768.993313367184</v>
      </c>
      <c r="M80" s="181">
        <f t="shared" si="39"/>
        <v>-17282.919122441737</v>
      </c>
      <c r="N80" s="181">
        <f t="shared" si="39"/>
        <v>-12926.525829692991</v>
      </c>
      <c r="O80" s="181">
        <f t="shared" si="39"/>
        <v>-15420.794858552186</v>
      </c>
      <c r="P80" s="181">
        <f t="shared" ref="P80:V80" si="40">(P77-P79)/P76</f>
        <v>-15699.562458099446</v>
      </c>
      <c r="Q80" s="181" t="e">
        <f t="shared" si="40"/>
        <v>#DIV/0!</v>
      </c>
      <c r="R80" s="181" t="e">
        <f t="shared" si="40"/>
        <v>#DIV/0!</v>
      </c>
      <c r="S80" s="181" t="e">
        <f t="shared" si="40"/>
        <v>#DIV/0!</v>
      </c>
      <c r="T80" s="181" t="e">
        <f t="shared" si="40"/>
        <v>#DIV/0!</v>
      </c>
      <c r="U80" s="181" t="e">
        <f t="shared" si="40"/>
        <v>#DIV/0!</v>
      </c>
      <c r="V80" s="181" t="e">
        <f t="shared" si="40"/>
        <v>#DIV/0!</v>
      </c>
      <c r="W80" s="181">
        <f>(W77-W79)/W76</f>
        <v>-16621.986378646121</v>
      </c>
      <c r="X80" s="181">
        <f>(X77-X79)/X76</f>
        <v>-17895.347248211339</v>
      </c>
      <c r="Y80" s="303"/>
      <c r="Z80" s="285"/>
      <c r="AJ80" s="157"/>
      <c r="AK80" s="124"/>
      <c r="AL80" s="121"/>
      <c r="AM80" s="121"/>
      <c r="AN80" s="121"/>
      <c r="AO80" s="121"/>
      <c r="AP80" s="121"/>
      <c r="AQ80" s="121"/>
      <c r="AR80" s="157"/>
      <c r="AS80" s="121"/>
      <c r="AT80" s="121"/>
      <c r="AU80" s="121"/>
      <c r="AV80" s="121"/>
      <c r="AW80" s="157"/>
      <c r="AX80" s="158"/>
      <c r="AY80" s="158"/>
      <c r="AZ80" s="158"/>
      <c r="BA80" s="157"/>
      <c r="BB80" s="74"/>
      <c r="BC80" s="74"/>
      <c r="BD80" s="74"/>
      <c r="BE80" s="74"/>
      <c r="BF80" s="158"/>
      <c r="BG80" s="157"/>
      <c r="BH80" s="74"/>
      <c r="BI80" s="74"/>
      <c r="BJ80" s="74"/>
      <c r="BK80" s="74"/>
      <c r="BL80" s="232"/>
      <c r="BM80" s="121"/>
      <c r="BN80" s="121"/>
      <c r="BO80" s="121"/>
      <c r="BP80" s="121"/>
      <c r="BQ80" s="121"/>
      <c r="BR80" s="121"/>
    </row>
    <row r="81" spans="1:70" s="6" customFormat="1" x14ac:dyDescent="0.3">
      <c r="A81" s="144"/>
      <c r="B81" s="367" t="s">
        <v>392</v>
      </c>
      <c r="C81" s="244">
        <v>314423</v>
      </c>
      <c r="D81" s="244">
        <v>310686</v>
      </c>
      <c r="E81" s="244">
        <v>312879</v>
      </c>
      <c r="F81" s="244">
        <v>315662</v>
      </c>
      <c r="G81" s="244">
        <v>331765</v>
      </c>
      <c r="H81" s="244">
        <v>310870</v>
      </c>
      <c r="I81" s="244">
        <v>301436</v>
      </c>
      <c r="J81" s="244">
        <v>296461</v>
      </c>
      <c r="K81" s="244">
        <v>280459</v>
      </c>
      <c r="L81" s="244">
        <v>281965</v>
      </c>
      <c r="M81" s="244">
        <v>306656</v>
      </c>
      <c r="N81" s="244">
        <v>298583</v>
      </c>
      <c r="O81" s="244">
        <v>290295</v>
      </c>
      <c r="P81" s="244">
        <v>258871</v>
      </c>
      <c r="Q81" s="244"/>
      <c r="R81" s="244"/>
      <c r="S81" s="244"/>
      <c r="T81" s="244"/>
      <c r="U81" s="244"/>
      <c r="V81" s="244"/>
      <c r="W81" s="247">
        <f>AVERAGE(N81:P81)</f>
        <v>282583</v>
      </c>
      <c r="X81" s="54">
        <f>W81</f>
        <v>282583</v>
      </c>
      <c r="Y81" s="303"/>
      <c r="Z81" s="303"/>
      <c r="AJ81" s="157"/>
      <c r="AK81" s="124"/>
      <c r="AL81" s="121"/>
      <c r="AM81" s="121"/>
      <c r="AN81" s="121"/>
      <c r="AO81" s="121"/>
      <c r="AP81" s="121"/>
      <c r="AQ81" s="121"/>
      <c r="AR81" s="157"/>
      <c r="AS81" s="121"/>
      <c r="AT81" s="121"/>
      <c r="AU81" s="121"/>
      <c r="AV81" s="121"/>
      <c r="AW81" s="157"/>
      <c r="AX81" s="158"/>
      <c r="AY81" s="158"/>
      <c r="AZ81" s="158"/>
      <c r="BA81" s="157"/>
      <c r="BB81" s="74"/>
      <c r="BC81" s="74"/>
      <c r="BD81" s="74"/>
      <c r="BE81" s="74"/>
      <c r="BF81" s="158"/>
      <c r="BG81" s="157"/>
      <c r="BH81" s="74"/>
      <c r="BI81" s="74"/>
      <c r="BJ81" s="74"/>
      <c r="BK81" s="74"/>
      <c r="BL81" s="232"/>
      <c r="BM81" s="121"/>
      <c r="BN81" s="121"/>
      <c r="BO81" s="121"/>
      <c r="BP81" s="121"/>
      <c r="BQ81" s="121"/>
      <c r="BR81" s="121"/>
    </row>
    <row r="82" spans="1:70" s="3" customFormat="1" x14ac:dyDescent="0.3">
      <c r="A82" s="16"/>
      <c r="B82" s="17" t="s">
        <v>139</v>
      </c>
      <c r="C82" s="47">
        <f t="shared" ref="C82:V82" si="41">C81*$G$38</f>
        <v>16189.693832282557</v>
      </c>
      <c r="D82" s="47">
        <f t="shared" si="41"/>
        <v>15997.275065680751</v>
      </c>
      <c r="E82" s="47">
        <f t="shared" si="41"/>
        <v>16110.193009260563</v>
      </c>
      <c r="F82" s="47">
        <f t="shared" si="41"/>
        <v>16253.490153347486</v>
      </c>
      <c r="G82" s="47">
        <f t="shared" si="41"/>
        <v>17082.636366510156</v>
      </c>
      <c r="H82" s="47">
        <f t="shared" si="41"/>
        <v>16006.74925702534</v>
      </c>
      <c r="I82" s="47">
        <f t="shared" si="41"/>
        <v>15520.990989933704</v>
      </c>
      <c r="J82" s="47">
        <f t="shared" si="41"/>
        <v>15264.827392437319</v>
      </c>
      <c r="K82" s="47">
        <f t="shared" si="41"/>
        <v>14440.881686480105</v>
      </c>
      <c r="L82" s="47">
        <f t="shared" si="41"/>
        <v>14518.425883028758</v>
      </c>
      <c r="M82" s="47">
        <f t="shared" si="41"/>
        <v>15789.769679166091</v>
      </c>
      <c r="N82" s="47">
        <f t="shared" si="41"/>
        <v>15374.08953392221</v>
      </c>
      <c r="O82" s="47">
        <f t="shared" si="41"/>
        <v>14947.339002052855</v>
      </c>
      <c r="P82" s="47">
        <f t="shared" si="41"/>
        <v>13329.311888942024</v>
      </c>
      <c r="Q82" s="47">
        <f t="shared" si="41"/>
        <v>0</v>
      </c>
      <c r="R82" s="47">
        <f t="shared" si="41"/>
        <v>0</v>
      </c>
      <c r="S82" s="47">
        <f t="shared" si="41"/>
        <v>0</v>
      </c>
      <c r="T82" s="47">
        <f t="shared" si="41"/>
        <v>0</v>
      </c>
      <c r="U82" s="47">
        <f t="shared" si="41"/>
        <v>0</v>
      </c>
      <c r="V82" s="47">
        <f t="shared" si="41"/>
        <v>0</v>
      </c>
      <c r="W82" s="47">
        <f>AVERAGE(N82:P82)</f>
        <v>14550.246808305696</v>
      </c>
      <c r="X82" s="47">
        <f>W82</f>
        <v>14550.246808305696</v>
      </c>
      <c r="Y82" s="74"/>
      <c r="Z82" s="74"/>
      <c r="AJ82" s="157"/>
      <c r="AK82" s="124"/>
      <c r="AL82" s="74"/>
      <c r="AM82" s="74"/>
      <c r="AN82" s="74"/>
      <c r="AO82" s="74"/>
      <c r="AP82" s="74"/>
      <c r="AQ82" s="74"/>
      <c r="AR82" s="157"/>
      <c r="AS82" s="74"/>
      <c r="AT82" s="74"/>
      <c r="AU82" s="74"/>
      <c r="AV82" s="74"/>
      <c r="AW82" s="157"/>
      <c r="AX82" s="158"/>
      <c r="AY82" s="158"/>
      <c r="AZ82" s="158"/>
      <c r="BA82" s="157"/>
      <c r="BB82" s="74"/>
      <c r="BC82" s="74"/>
      <c r="BD82" s="74"/>
      <c r="BE82" s="74"/>
      <c r="BF82" s="158"/>
      <c r="BG82" s="157"/>
      <c r="BH82" s="74"/>
      <c r="BI82" s="74"/>
      <c r="BJ82" s="74"/>
      <c r="BK82" s="74"/>
      <c r="BL82" s="232"/>
      <c r="BM82" s="74"/>
      <c r="BN82" s="74"/>
      <c r="BO82" s="74"/>
      <c r="BP82" s="74"/>
      <c r="BQ82" s="74"/>
      <c r="BR82" s="74"/>
    </row>
    <row r="83" spans="1:70" s="4" customFormat="1" x14ac:dyDescent="0.3">
      <c r="A83" s="14"/>
      <c r="B83" s="15" t="s">
        <v>2</v>
      </c>
      <c r="C83" s="101">
        <v>7.06</v>
      </c>
      <c r="D83" s="101">
        <v>7.52</v>
      </c>
      <c r="E83" s="101">
        <v>7.33</v>
      </c>
      <c r="F83" s="101">
        <v>6.9</v>
      </c>
      <c r="G83" s="101">
        <v>8</v>
      </c>
      <c r="H83" s="101">
        <v>6.34</v>
      </c>
      <c r="I83" s="101">
        <v>6.87</v>
      </c>
      <c r="J83" s="101">
        <v>7.25</v>
      </c>
      <c r="K83" s="101">
        <v>6.77</v>
      </c>
      <c r="L83" s="101">
        <v>6.5</v>
      </c>
      <c r="M83" s="101">
        <v>5.95</v>
      </c>
      <c r="N83" s="101">
        <v>7.58</v>
      </c>
      <c r="O83" s="101">
        <v>5.87</v>
      </c>
      <c r="P83" s="101">
        <v>6.92</v>
      </c>
      <c r="Q83" s="101"/>
      <c r="R83" s="101"/>
      <c r="S83" s="101"/>
      <c r="T83" s="123"/>
      <c r="U83" s="419"/>
      <c r="V83" s="101"/>
      <c r="W83" s="123">
        <v>6.43</v>
      </c>
      <c r="X83" s="92">
        <f>W83*(1+'Hypothèses production'!B2)</f>
        <v>6.43</v>
      </c>
      <c r="Y83" s="57"/>
      <c r="Z83" s="57"/>
      <c r="AJ83" s="157"/>
      <c r="AK83" s="124"/>
      <c r="AL83" s="57"/>
      <c r="AM83" s="57"/>
      <c r="AN83" s="57"/>
      <c r="AO83" s="57"/>
      <c r="AP83" s="57"/>
      <c r="AQ83" s="57"/>
      <c r="AR83" s="157"/>
      <c r="AS83" s="57"/>
      <c r="AT83" s="57"/>
      <c r="AU83" s="57"/>
      <c r="AV83" s="57"/>
      <c r="AW83" s="157"/>
      <c r="AX83" s="158"/>
      <c r="AY83" s="158"/>
      <c r="AZ83" s="158"/>
      <c r="BA83" s="157"/>
      <c r="BB83" s="74"/>
      <c r="BC83" s="74"/>
      <c r="BD83" s="74"/>
      <c r="BE83" s="74"/>
      <c r="BF83" s="158"/>
      <c r="BG83" s="157"/>
      <c r="BH83" s="57"/>
      <c r="BI83" s="57"/>
      <c r="BJ83" s="57"/>
      <c r="BK83" s="57"/>
      <c r="BL83" s="232"/>
      <c r="BM83" s="57"/>
      <c r="BN83" s="57"/>
      <c r="BO83" s="57"/>
      <c r="BP83" s="57"/>
      <c r="BQ83" s="57"/>
      <c r="BR83" s="57"/>
    </row>
    <row r="84" spans="1:70" s="3" customFormat="1" x14ac:dyDescent="0.3">
      <c r="A84" s="58" t="s">
        <v>84</v>
      </c>
      <c r="B84" s="17" t="s">
        <v>138</v>
      </c>
      <c r="C84" s="47">
        <f>C83*C82</f>
        <v>114299.23845591485</v>
      </c>
      <c r="D84" s="47">
        <f t="shared" ref="D84:V84" si="42">D83*D82</f>
        <v>120299.50849391925</v>
      </c>
      <c r="E84" s="47">
        <f t="shared" si="42"/>
        <v>118087.71475787993</v>
      </c>
      <c r="F84" s="47">
        <f t="shared" si="42"/>
        <v>112149.08205809766</v>
      </c>
      <c r="G84" s="47">
        <f t="shared" si="42"/>
        <v>136661.09093208125</v>
      </c>
      <c r="H84" s="47">
        <f t="shared" si="42"/>
        <v>101482.79028954066</v>
      </c>
      <c r="I84" s="47">
        <f t="shared" si="42"/>
        <v>106629.20810084454</v>
      </c>
      <c r="J84" s="47">
        <f t="shared" si="42"/>
        <v>110669.99859517056</v>
      </c>
      <c r="K84" s="47">
        <f t="shared" si="42"/>
        <v>97764.769017470302</v>
      </c>
      <c r="L84" s="47">
        <f t="shared" si="42"/>
        <v>94369.768239686935</v>
      </c>
      <c r="M84" s="47">
        <f t="shared" si="42"/>
        <v>93949.129591038247</v>
      </c>
      <c r="N84" s="47">
        <f t="shared" si="42"/>
        <v>116535.59866713035</v>
      </c>
      <c r="O84" s="47">
        <f t="shared" si="42"/>
        <v>87740.879942050262</v>
      </c>
      <c r="P84" s="47">
        <f t="shared" si="42"/>
        <v>92238.838271478802</v>
      </c>
      <c r="Q84" s="47">
        <f t="shared" si="42"/>
        <v>0</v>
      </c>
      <c r="R84" s="47">
        <f t="shared" si="42"/>
        <v>0</v>
      </c>
      <c r="S84" s="47">
        <f t="shared" si="42"/>
        <v>0</v>
      </c>
      <c r="T84" s="47">
        <f t="shared" si="42"/>
        <v>0</v>
      </c>
      <c r="U84" s="47">
        <f t="shared" si="42"/>
        <v>0</v>
      </c>
      <c r="V84" s="47">
        <f t="shared" si="42"/>
        <v>0</v>
      </c>
      <c r="W84" s="47">
        <f t="shared" ref="W84:X84" si="43">W83*W82</f>
        <v>93558.086977405619</v>
      </c>
      <c r="X84" s="47">
        <f t="shared" si="43"/>
        <v>93558.086977405619</v>
      </c>
      <c r="Y84" s="74"/>
      <c r="Z84" s="74"/>
      <c r="AJ84" s="157"/>
      <c r="AK84" s="124"/>
      <c r="AL84" s="74"/>
      <c r="AM84" s="74"/>
      <c r="AN84" s="74"/>
      <c r="AO84" s="74"/>
      <c r="AP84" s="74"/>
      <c r="AQ84" s="74"/>
      <c r="AR84" s="157"/>
      <c r="AS84" s="74"/>
      <c r="AT84" s="74"/>
      <c r="AU84" s="74"/>
      <c r="AV84" s="509"/>
      <c r="AW84" s="232"/>
      <c r="AX84" s="158"/>
      <c r="AY84" s="158"/>
      <c r="AZ84" s="158"/>
      <c r="BA84" s="157"/>
      <c r="BB84" s="74"/>
      <c r="BC84" s="74"/>
      <c r="BD84" s="74"/>
      <c r="BE84" s="74"/>
      <c r="BF84" s="158"/>
      <c r="BG84" s="157"/>
      <c r="BH84" s="74"/>
      <c r="BI84" s="74"/>
      <c r="BJ84" s="74"/>
      <c r="BK84" s="74"/>
      <c r="BL84" s="232"/>
      <c r="BM84" s="74"/>
      <c r="BN84" s="74"/>
      <c r="BO84" s="74"/>
      <c r="BP84" s="74"/>
      <c r="BQ84" s="74"/>
      <c r="BR84" s="74"/>
    </row>
    <row r="85" spans="1:70" s="4" customFormat="1" x14ac:dyDescent="0.3">
      <c r="A85" s="14"/>
      <c r="B85" s="15" t="s">
        <v>296</v>
      </c>
      <c r="C85" s="49">
        <f t="shared" ref="C85:P85" si="44">C5</f>
        <v>5.4</v>
      </c>
      <c r="D85" s="49">
        <f t="shared" si="44"/>
        <v>5.6</v>
      </c>
      <c r="E85" s="49">
        <f t="shared" si="44"/>
        <v>5.6</v>
      </c>
      <c r="F85" s="49">
        <f t="shared" si="44"/>
        <v>6.1</v>
      </c>
      <c r="G85" s="49">
        <f t="shared" si="44"/>
        <v>8.6999999999999993</v>
      </c>
      <c r="H85" s="49">
        <f t="shared" si="44"/>
        <v>6.3</v>
      </c>
      <c r="I85" s="49">
        <f t="shared" si="44"/>
        <v>7.2</v>
      </c>
      <c r="J85" s="49">
        <f t="shared" si="44"/>
        <v>7.6</v>
      </c>
      <c r="K85" s="49">
        <f t="shared" si="44"/>
        <v>13.2</v>
      </c>
      <c r="L85" s="49">
        <f t="shared" si="44"/>
        <v>15.9</v>
      </c>
      <c r="M85" s="49">
        <f t="shared" si="44"/>
        <v>14.9</v>
      </c>
      <c r="N85" s="49">
        <f t="shared" si="44"/>
        <v>6.8</v>
      </c>
      <c r="O85" s="49">
        <f t="shared" si="44"/>
        <v>8</v>
      </c>
      <c r="P85" s="49">
        <f t="shared" si="44"/>
        <v>8.125</v>
      </c>
      <c r="Q85" s="49">
        <f>$O$85+(2/8)*($W$85-$O$85)</f>
        <v>8.25</v>
      </c>
      <c r="R85" s="49">
        <f>$O$85+(3/8)*($W$85-$O$85)</f>
        <v>8.375</v>
      </c>
      <c r="S85" s="49">
        <f>$O$85+(4/8)*($W$85-$O$85)</f>
        <v>8.5</v>
      </c>
      <c r="T85" s="49">
        <f>$O$85+(5/8)*($W$85-$O$85)</f>
        <v>8.625</v>
      </c>
      <c r="U85" s="49">
        <f>$O$85+(6/8)*($W$85-$O$85)</f>
        <v>8.75</v>
      </c>
      <c r="V85" s="49">
        <f>$O$85+(7/8)*($W$85-$O$85)</f>
        <v>8.875</v>
      </c>
      <c r="W85" s="49">
        <f>W5</f>
        <v>9</v>
      </c>
      <c r="X85" s="48">
        <f>X5</f>
        <v>9.4500000000000011</v>
      </c>
      <c r="Y85" s="240"/>
      <c r="Z85" s="240"/>
      <c r="AJ85" s="157"/>
      <c r="AK85" s="124"/>
      <c r="AL85" s="57"/>
      <c r="AM85" s="57"/>
      <c r="AN85" s="57"/>
      <c r="AO85" s="57"/>
      <c r="AP85" s="57"/>
      <c r="AQ85" s="57"/>
      <c r="AR85" s="157"/>
      <c r="AS85" s="57"/>
      <c r="AT85" s="57"/>
      <c r="AU85" s="57"/>
      <c r="AV85" s="57"/>
      <c r="AW85" s="157"/>
      <c r="AX85" s="158"/>
      <c r="AY85" s="158"/>
      <c r="AZ85" s="158"/>
      <c r="BA85" s="157"/>
      <c r="BB85" s="74"/>
      <c r="BC85" s="74"/>
      <c r="BD85" s="74"/>
      <c r="BE85" s="74"/>
      <c r="BF85" s="158"/>
      <c r="BG85" s="157"/>
      <c r="BH85" s="74"/>
      <c r="BI85" s="74"/>
      <c r="BJ85" s="74"/>
      <c r="BK85" s="74"/>
      <c r="BL85" s="232"/>
      <c r="BM85" s="57"/>
      <c r="BN85" s="57"/>
      <c r="BO85" s="57"/>
      <c r="BP85" s="57"/>
      <c r="BQ85" s="57"/>
      <c r="BR85" s="57"/>
    </row>
    <row r="86" spans="1:70" s="3" customFormat="1" x14ac:dyDescent="0.3">
      <c r="A86" s="16"/>
      <c r="B86" s="17" t="s">
        <v>297</v>
      </c>
      <c r="C86" s="47">
        <f t="shared" ref="C86:O86" si="45">C85*C66/1000</f>
        <v>40921.621200000001</v>
      </c>
      <c r="D86" s="47">
        <f t="shared" si="45"/>
        <v>42751.648799999995</v>
      </c>
      <c r="E86" s="47">
        <f t="shared" si="45"/>
        <v>43093.4784</v>
      </c>
      <c r="F86" s="47">
        <f t="shared" si="45"/>
        <v>47321.3295</v>
      </c>
      <c r="G86" s="47">
        <f t="shared" si="45"/>
        <v>68042.40419999999</v>
      </c>
      <c r="H86" s="47">
        <f t="shared" si="45"/>
        <v>49629.4974</v>
      </c>
      <c r="I86" s="47">
        <f t="shared" si="45"/>
        <v>57001.600800000007</v>
      </c>
      <c r="J86" s="47">
        <f t="shared" si="45"/>
        <v>60406.981199999995</v>
      </c>
      <c r="K86" s="47">
        <f t="shared" si="45"/>
        <v>105526.8588</v>
      </c>
      <c r="L86" s="47">
        <f t="shared" si="45"/>
        <v>127882.68240000001</v>
      </c>
      <c r="M86" s="47">
        <f t="shared" si="45"/>
        <v>120371.9148</v>
      </c>
      <c r="N86" s="47">
        <f t="shared" si="45"/>
        <v>55174.567600000002</v>
      </c>
      <c r="O86" s="47">
        <f t="shared" si="45"/>
        <v>65251.127999999997</v>
      </c>
      <c r="P86" s="47">
        <f t="shared" ref="P86:V86" si="46">P85*P66/1000</f>
        <v>66603.265625</v>
      </c>
      <c r="Q86" s="47">
        <f t="shared" si="46"/>
        <v>0</v>
      </c>
      <c r="R86" s="47">
        <f t="shared" si="46"/>
        <v>0</v>
      </c>
      <c r="S86" s="47">
        <f t="shared" si="46"/>
        <v>0</v>
      </c>
      <c r="T86" s="47">
        <f t="shared" si="46"/>
        <v>0</v>
      </c>
      <c r="U86" s="47">
        <f t="shared" si="46"/>
        <v>0</v>
      </c>
      <c r="V86" s="47">
        <f t="shared" si="46"/>
        <v>0</v>
      </c>
      <c r="W86" s="47">
        <f>W85*W66/1000</f>
        <v>75310.2</v>
      </c>
      <c r="X86" s="47">
        <f>X85*X66/1000</f>
        <v>79075.710000000021</v>
      </c>
      <c r="Y86" s="74"/>
      <c r="Z86" s="74"/>
      <c r="AJ86" s="157"/>
      <c r="AK86" s="124"/>
      <c r="AL86" s="74"/>
      <c r="AM86" s="74"/>
      <c r="AN86" s="74"/>
      <c r="AO86" s="74"/>
      <c r="AP86" s="74"/>
      <c r="AQ86" s="74"/>
      <c r="AR86" s="157"/>
      <c r="AS86" s="74"/>
      <c r="AT86" s="74"/>
      <c r="AU86" s="74"/>
      <c r="AV86" s="74"/>
      <c r="AW86" s="157"/>
      <c r="AX86" s="158"/>
      <c r="AY86" s="158"/>
      <c r="AZ86" s="158"/>
      <c r="BA86" s="157"/>
      <c r="BB86" s="74"/>
      <c r="BC86" s="74"/>
      <c r="BD86" s="74"/>
      <c r="BE86" s="74"/>
      <c r="BF86" s="158"/>
      <c r="BG86" s="157"/>
      <c r="BH86" s="74"/>
      <c r="BI86" s="74"/>
      <c r="BJ86" s="74"/>
      <c r="BK86" s="74"/>
      <c r="BL86" s="232"/>
      <c r="BM86" s="74"/>
      <c r="BN86" s="74"/>
      <c r="BO86" s="74"/>
      <c r="BP86" s="74"/>
      <c r="BQ86" s="74"/>
      <c r="BR86" s="74"/>
    </row>
    <row r="87" spans="1:70" s="6" customFormat="1" x14ac:dyDescent="0.3">
      <c r="A87" s="205"/>
      <c r="B87" s="206" t="s">
        <v>298</v>
      </c>
      <c r="C87" s="181">
        <f t="shared" ref="C87:O87" si="47">(C84-C86)/C83</f>
        <v>10393.430206220233</v>
      </c>
      <c r="D87" s="181">
        <f t="shared" si="47"/>
        <v>10312.215384829688</v>
      </c>
      <c r="E87" s="181">
        <f t="shared" si="47"/>
        <v>10231.137293025913</v>
      </c>
      <c r="F87" s="181">
        <f t="shared" si="47"/>
        <v>9395.3264576953115</v>
      </c>
      <c r="G87" s="181">
        <f t="shared" si="47"/>
        <v>8577.3358415101575</v>
      </c>
      <c r="H87" s="181">
        <f t="shared" si="47"/>
        <v>8178.75282169411</v>
      </c>
      <c r="I87" s="181">
        <f t="shared" si="47"/>
        <v>7223.8147453922165</v>
      </c>
      <c r="J87" s="181">
        <f t="shared" si="47"/>
        <v>6932.8299855407677</v>
      </c>
      <c r="K87" s="181">
        <f t="shared" si="47"/>
        <v>-1146.5420653662777</v>
      </c>
      <c r="L87" s="181">
        <f t="shared" si="47"/>
        <v>-5155.8329477404723</v>
      </c>
      <c r="M87" s="181">
        <f t="shared" si="47"/>
        <v>-4440.8042368002943</v>
      </c>
      <c r="N87" s="181">
        <f t="shared" si="47"/>
        <v>8095.1228320752443</v>
      </c>
      <c r="O87" s="181">
        <f t="shared" si="47"/>
        <v>3831.3035676405902</v>
      </c>
      <c r="P87" s="181">
        <f t="shared" ref="P87:V87" si="48">(P84-P86)/P83</f>
        <v>3704.5625211674569</v>
      </c>
      <c r="Q87" s="181" t="e">
        <f t="shared" si="48"/>
        <v>#DIV/0!</v>
      </c>
      <c r="R87" s="181" t="e">
        <f t="shared" si="48"/>
        <v>#DIV/0!</v>
      </c>
      <c r="S87" s="181" t="e">
        <f t="shared" si="48"/>
        <v>#DIV/0!</v>
      </c>
      <c r="T87" s="181" t="e">
        <f t="shared" si="48"/>
        <v>#DIV/0!</v>
      </c>
      <c r="U87" s="181" t="e">
        <f t="shared" si="48"/>
        <v>#DIV/0!</v>
      </c>
      <c r="V87" s="181" t="e">
        <f t="shared" si="48"/>
        <v>#DIV/0!</v>
      </c>
      <c r="W87" s="181">
        <f>(W84-W86)/W83</f>
        <v>2837.9295454752137</v>
      </c>
      <c r="X87" s="181">
        <f>(X84-X86)/X83</f>
        <v>2252.3136823336858</v>
      </c>
      <c r="Y87" s="303"/>
      <c r="Z87" s="285"/>
      <c r="AJ87" s="157"/>
      <c r="AK87" s="124"/>
      <c r="AL87" s="121"/>
      <c r="AM87" s="121"/>
      <c r="AN87" s="121"/>
      <c r="AO87" s="121"/>
      <c r="AP87" s="121"/>
      <c r="AQ87" s="121"/>
      <c r="AR87" s="157"/>
      <c r="AS87" s="121"/>
      <c r="AT87" s="121"/>
      <c r="AU87" s="121"/>
      <c r="AV87" s="121"/>
      <c r="AW87" s="157"/>
      <c r="AX87" s="158"/>
      <c r="AY87" s="158"/>
      <c r="AZ87" s="158"/>
      <c r="BA87" s="158"/>
      <c r="BB87" s="158"/>
      <c r="BC87" s="90"/>
      <c r="BD87" s="90"/>
      <c r="BE87" s="90"/>
      <c r="BF87" s="158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</row>
    <row r="88" spans="1:70" s="6" customFormat="1" x14ac:dyDescent="0.3">
      <c r="A88" s="541" t="s">
        <v>598</v>
      </c>
      <c r="B88" s="381"/>
      <c r="C88" s="542">
        <f t="shared" ref="C88:X88" si="49">(C70+C77+C84)/(C68+C75+C82)</f>
        <v>6.3298925635209562</v>
      </c>
      <c r="D88" s="543">
        <f t="shared" si="49"/>
        <v>5.7150788515770836</v>
      </c>
      <c r="E88" s="543">
        <f t="shared" si="49"/>
        <v>6.3886586437968873</v>
      </c>
      <c r="F88" s="543">
        <f t="shared" si="49"/>
        <v>6.2838838994877007</v>
      </c>
      <c r="G88" s="543">
        <f t="shared" si="49"/>
        <v>6.3720474217180874</v>
      </c>
      <c r="H88" s="543">
        <f t="shared" si="49"/>
        <v>6.0613951515893456</v>
      </c>
      <c r="I88" s="543">
        <f t="shared" si="49"/>
        <v>5.8828920697470224</v>
      </c>
      <c r="J88" s="543">
        <f t="shared" si="49"/>
        <v>6.3570098353184736</v>
      </c>
      <c r="K88" s="543">
        <f t="shared" si="49"/>
        <v>5.9474170204801</v>
      </c>
      <c r="L88" s="543">
        <f t="shared" si="49"/>
        <v>5.8934639007674097</v>
      </c>
      <c r="M88" s="543">
        <f t="shared" si="49"/>
        <v>5.6082383388535506</v>
      </c>
      <c r="N88" s="543">
        <f t="shared" si="49"/>
        <v>6.2871786982107833</v>
      </c>
      <c r="O88" s="543">
        <f t="shared" si="49"/>
        <v>5.3210738803549074</v>
      </c>
      <c r="P88" s="543">
        <f t="shared" si="49"/>
        <v>6.2160074492170203</v>
      </c>
      <c r="Q88" s="543" t="e">
        <f t="shared" si="49"/>
        <v>#DIV/0!</v>
      </c>
      <c r="R88" s="543" t="e">
        <f t="shared" si="49"/>
        <v>#DIV/0!</v>
      </c>
      <c r="S88" s="543" t="e">
        <f t="shared" si="49"/>
        <v>#DIV/0!</v>
      </c>
      <c r="T88" s="543" t="e">
        <f t="shared" si="49"/>
        <v>#DIV/0!</v>
      </c>
      <c r="U88" s="543" t="e">
        <f t="shared" si="49"/>
        <v>#DIV/0!</v>
      </c>
      <c r="V88" s="543" t="e">
        <f t="shared" si="49"/>
        <v>#DIV/0!</v>
      </c>
      <c r="W88" s="543">
        <f t="shared" si="49"/>
        <v>5.7417050855159806</v>
      </c>
      <c r="X88" s="544">
        <f t="shared" si="49"/>
        <v>5.7417050855159806</v>
      </c>
      <c r="Y88" s="303"/>
      <c r="Z88" s="285"/>
      <c r="AJ88" s="157"/>
      <c r="AK88" s="124"/>
      <c r="AL88" s="121"/>
      <c r="AM88" s="121"/>
      <c r="AN88" s="121"/>
      <c r="AO88" s="121"/>
      <c r="AP88" s="121"/>
      <c r="AQ88" s="121"/>
      <c r="AR88" s="157"/>
      <c r="AS88" s="121"/>
      <c r="AT88" s="121"/>
      <c r="AU88" s="121"/>
      <c r="AV88" s="121"/>
      <c r="AW88" s="157"/>
      <c r="AX88" s="158"/>
      <c r="AY88" s="158"/>
      <c r="AZ88" s="158"/>
      <c r="BA88" s="158"/>
      <c r="BB88" s="158"/>
      <c r="BC88" s="90"/>
      <c r="BD88" s="90"/>
      <c r="BE88" s="90"/>
      <c r="BF88" s="158"/>
      <c r="BG88" s="121"/>
      <c r="BH88" s="121"/>
      <c r="BI88" s="121"/>
      <c r="BJ88" s="121"/>
      <c r="BK88" s="121"/>
      <c r="BL88" s="121"/>
      <c r="BM88" s="121"/>
      <c r="BN88" s="121"/>
      <c r="BO88" s="121"/>
      <c r="BP88" s="121"/>
      <c r="BQ88" s="121"/>
      <c r="BR88" s="121"/>
    </row>
    <row r="89" spans="1:70" s="6" customFormat="1" x14ac:dyDescent="0.3">
      <c r="A89" s="144"/>
      <c r="B89" s="70" t="s">
        <v>396</v>
      </c>
      <c r="C89" s="418">
        <v>32892</v>
      </c>
      <c r="D89" s="244">
        <v>37202</v>
      </c>
      <c r="E89" s="244">
        <v>36117</v>
      </c>
      <c r="F89" s="244">
        <v>36020</v>
      </c>
      <c r="G89" s="244">
        <v>36915</v>
      </c>
      <c r="H89" s="244">
        <v>35675</v>
      </c>
      <c r="I89" s="244">
        <v>37017</v>
      </c>
      <c r="J89" s="244">
        <v>41115</v>
      </c>
      <c r="K89" s="244">
        <v>47995</v>
      </c>
      <c r="L89" s="244">
        <v>30691</v>
      </c>
      <c r="M89" s="244">
        <v>28887</v>
      </c>
      <c r="N89" s="244">
        <v>27163</v>
      </c>
      <c r="O89" s="244">
        <v>36267</v>
      </c>
      <c r="P89" s="244">
        <v>43267</v>
      </c>
      <c r="Q89" s="244"/>
      <c r="R89" s="244"/>
      <c r="S89" s="244"/>
      <c r="T89" s="244"/>
      <c r="U89" s="244"/>
      <c r="V89" s="244"/>
      <c r="W89" s="247">
        <f>AVERAGE(N89:P89)</f>
        <v>35565.666666666664</v>
      </c>
      <c r="X89" s="54">
        <f>W89</f>
        <v>35565.666666666664</v>
      </c>
      <c r="Y89" s="303"/>
      <c r="Z89" s="303"/>
      <c r="AJ89" s="157"/>
      <c r="AK89" s="124"/>
      <c r="AL89" s="121"/>
      <c r="AM89" s="121"/>
      <c r="AN89" s="121"/>
      <c r="AO89" s="121"/>
      <c r="AP89" s="121"/>
      <c r="AQ89" s="121"/>
      <c r="AR89" s="157"/>
      <c r="AS89" s="121"/>
      <c r="AT89" s="121"/>
      <c r="AU89" s="121"/>
      <c r="AV89" s="121"/>
      <c r="AW89" s="157"/>
      <c r="AX89" s="158"/>
      <c r="AY89" s="158"/>
      <c r="AZ89" s="158"/>
      <c r="BA89" s="158"/>
      <c r="BB89" s="158"/>
      <c r="BC89" s="90"/>
      <c r="BD89" s="90"/>
      <c r="BE89" s="90"/>
      <c r="BF89" s="158"/>
      <c r="BG89" s="121"/>
      <c r="BH89" s="121"/>
      <c r="BI89" s="121"/>
      <c r="BJ89" s="121"/>
      <c r="BK89" s="121"/>
      <c r="BL89" s="121"/>
      <c r="BM89" s="121"/>
      <c r="BN89" s="121"/>
      <c r="BO89" s="121"/>
      <c r="BP89" s="121"/>
      <c r="BQ89" s="121"/>
      <c r="BR89" s="121"/>
    </row>
    <row r="90" spans="1:70" s="3" customFormat="1" x14ac:dyDescent="0.3">
      <c r="A90" s="16"/>
      <c r="B90" s="47" t="s">
        <v>397</v>
      </c>
      <c r="C90" s="16">
        <f t="shared" ref="C90:V90" si="50">C89*$F$45</f>
        <v>3854.3130088253001</v>
      </c>
      <c r="D90" s="47">
        <f t="shared" si="50"/>
        <v>4359.3625366143378</v>
      </c>
      <c r="E90" s="47">
        <f t="shared" si="50"/>
        <v>4232.2212981802068</v>
      </c>
      <c r="F90" s="47">
        <f t="shared" si="50"/>
        <v>4220.8547542833303</v>
      </c>
      <c r="G90" s="47">
        <f t="shared" si="50"/>
        <v>4325.7316283833743</v>
      </c>
      <c r="H90" s="47">
        <f t="shared" si="50"/>
        <v>4180.4273558872246</v>
      </c>
      <c r="I90" s="47">
        <f t="shared" si="50"/>
        <v>4337.6840766048317</v>
      </c>
      <c r="J90" s="47">
        <f t="shared" si="50"/>
        <v>4817.8912610316247</v>
      </c>
      <c r="K90" s="47">
        <f t="shared" si="50"/>
        <v>5624.0956116554262</v>
      </c>
      <c r="L90" s="47">
        <f t="shared" si="50"/>
        <v>3596.3979251446335</v>
      </c>
      <c r="M90" s="47">
        <f t="shared" si="50"/>
        <v>3385.0036448357182</v>
      </c>
      <c r="N90" s="47">
        <f t="shared" si="50"/>
        <v>3182.9838337201031</v>
      </c>
      <c r="O90" s="47">
        <f t="shared" si="50"/>
        <v>4249.7984279176444</v>
      </c>
      <c r="P90" s="47">
        <f t="shared" si="50"/>
        <v>5070.0644823313951</v>
      </c>
      <c r="Q90" s="47">
        <f t="shared" si="50"/>
        <v>0</v>
      </c>
      <c r="R90" s="47">
        <f t="shared" si="50"/>
        <v>0</v>
      </c>
      <c r="S90" s="47">
        <f t="shared" si="50"/>
        <v>0</v>
      </c>
      <c r="T90" s="47">
        <f t="shared" si="50"/>
        <v>0</v>
      </c>
      <c r="U90" s="47">
        <f t="shared" si="50"/>
        <v>0</v>
      </c>
      <c r="V90" s="47">
        <f t="shared" si="50"/>
        <v>0</v>
      </c>
      <c r="W90" s="47">
        <f>AVERAGE(N90:P90)</f>
        <v>4167.6155813230471</v>
      </c>
      <c r="X90" s="47">
        <f>W90</f>
        <v>4167.6155813230471</v>
      </c>
      <c r="Y90" s="74"/>
      <c r="Z90" s="74"/>
      <c r="AJ90" s="157"/>
      <c r="AK90" s="124"/>
      <c r="AL90" s="74"/>
      <c r="AM90" s="74"/>
      <c r="AN90" s="74"/>
      <c r="AO90" s="74"/>
      <c r="AP90" s="74"/>
      <c r="AQ90" s="74"/>
      <c r="AR90" s="157"/>
      <c r="AS90" s="74"/>
      <c r="AT90" s="74"/>
      <c r="AU90" s="74"/>
      <c r="AV90" s="74"/>
      <c r="AW90" s="157"/>
      <c r="AX90" s="158"/>
      <c r="AY90" s="158"/>
      <c r="AZ90" s="158"/>
      <c r="BA90" s="350"/>
      <c r="BB90" s="157"/>
      <c r="BC90" s="157"/>
      <c r="BD90" s="157"/>
      <c r="BE90" s="157"/>
      <c r="BF90" s="157"/>
      <c r="BG90" s="74"/>
      <c r="BH90" s="74"/>
      <c r="BI90" s="74"/>
      <c r="BJ90" s="74"/>
      <c r="BK90" s="74"/>
      <c r="BL90" s="74"/>
      <c r="BM90" s="74"/>
      <c r="BN90" s="74"/>
      <c r="BO90" s="74"/>
      <c r="BP90" s="74"/>
      <c r="BQ90" s="74"/>
      <c r="BR90" s="74"/>
    </row>
    <row r="91" spans="1:70" s="4" customFormat="1" x14ac:dyDescent="0.3">
      <c r="A91" s="14" t="s">
        <v>68</v>
      </c>
      <c r="B91" s="48" t="s">
        <v>398</v>
      </c>
      <c r="C91" s="411">
        <v>2.93</v>
      </c>
      <c r="D91" s="101">
        <v>2.62</v>
      </c>
      <c r="E91" s="101">
        <v>3.07</v>
      </c>
      <c r="F91" s="101">
        <v>2.82</v>
      </c>
      <c r="G91" s="101">
        <v>3.31</v>
      </c>
      <c r="H91" s="101">
        <v>2.98</v>
      </c>
      <c r="I91" s="101">
        <v>3.47</v>
      </c>
      <c r="J91" s="101">
        <v>3.6</v>
      </c>
      <c r="K91" s="101">
        <v>3.14</v>
      </c>
      <c r="L91" s="101">
        <v>2.68</v>
      </c>
      <c r="M91" s="101">
        <v>2.73</v>
      </c>
      <c r="N91" s="101">
        <v>3.17</v>
      </c>
      <c r="O91" s="101">
        <v>2.99</v>
      </c>
      <c r="P91" s="101">
        <v>3.1</v>
      </c>
      <c r="Q91" s="101"/>
      <c r="R91" s="101"/>
      <c r="S91" s="101"/>
      <c r="T91" s="123"/>
      <c r="U91" s="123"/>
      <c r="V91" s="101"/>
      <c r="W91" s="123">
        <v>2.93</v>
      </c>
      <c r="X91" s="92">
        <f>W91*(1+'Hypothèses production'!B3)</f>
        <v>2.93</v>
      </c>
      <c r="Y91" s="57"/>
      <c r="Z91" s="57"/>
      <c r="AJ91" s="157"/>
      <c r="AK91" s="124"/>
      <c r="AL91" s="57"/>
      <c r="AM91" s="57"/>
      <c r="AN91" s="57"/>
      <c r="AO91" s="57"/>
      <c r="AP91" s="57"/>
      <c r="AQ91" s="57"/>
      <c r="AR91" s="157"/>
      <c r="AS91" s="57"/>
      <c r="AT91" s="57"/>
      <c r="AU91" s="57"/>
      <c r="AV91" s="57"/>
      <c r="AW91" s="157"/>
      <c r="AX91" s="158"/>
      <c r="AY91" s="158"/>
      <c r="AZ91" s="158"/>
      <c r="BA91" s="157"/>
      <c r="BB91" s="74"/>
      <c r="BC91" s="74"/>
      <c r="BD91" s="74"/>
      <c r="BE91" s="74"/>
      <c r="BF91" s="232"/>
      <c r="BG91" s="57"/>
      <c r="BH91" s="57"/>
      <c r="BI91" s="57"/>
      <c r="BJ91" s="57"/>
      <c r="BK91" s="57"/>
      <c r="BL91" s="57"/>
      <c r="BM91" s="57"/>
      <c r="BN91" s="57"/>
      <c r="BO91" s="57"/>
      <c r="BP91" s="57"/>
      <c r="BQ91" s="57"/>
      <c r="BR91" s="57"/>
    </row>
    <row r="92" spans="1:70" s="3" customFormat="1" x14ac:dyDescent="0.3">
      <c r="A92" s="16" t="s">
        <v>66</v>
      </c>
      <c r="B92" s="47" t="s">
        <v>399</v>
      </c>
      <c r="C92" s="16">
        <f>C91*C90*'huile colza tournesol soja'!$D$6</f>
        <v>4856.0489598189961</v>
      </c>
      <c r="D92" s="47">
        <f>D91*D90*'huile colza tournesol soja'!$D$6</f>
        <v>4911.2578337497134</v>
      </c>
      <c r="E92" s="47">
        <f>E91*E90*'huile colza tournesol soja'!$D$6</f>
        <v>5586.95533572769</v>
      </c>
      <c r="F92" s="47">
        <f>F91*F90*'huile colza tournesol soja'!$D$6</f>
        <v>5118.2084750439662</v>
      </c>
      <c r="G92" s="47">
        <f>G91*G90*'huile colza tournesol soja'!$D$6</f>
        <v>6156.813826678057</v>
      </c>
      <c r="H92" s="47">
        <f>H91*H90*'huile colza tournesol soja'!$D$6</f>
        <v>5356.7996138338895</v>
      </c>
      <c r="I92" s="47">
        <f>I91*I90*'huile colza tournesol soja'!$D$6</f>
        <v>6472.2584107020703</v>
      </c>
      <c r="J92" s="47">
        <f>J91*J90*'huile colza tournesol soja'!$D$6</f>
        <v>7458.0956720769545</v>
      </c>
      <c r="K92" s="47">
        <f>K91*K90*'huile colza tournesol soja'!$D$6</f>
        <v>7593.653894857156</v>
      </c>
      <c r="L92" s="47">
        <f>L91*L90*'huile colza tournesol soja'!$D$6</f>
        <v>4144.4889689366755</v>
      </c>
      <c r="M92" s="47">
        <f>M91*M90*'huile colza tournesol soja'!$D$6</f>
        <v>3973.6557786726494</v>
      </c>
      <c r="N92" s="47">
        <f>N91*N90*'huile colza tournesol soja'!$D$6</f>
        <v>4338.7252637438723</v>
      </c>
      <c r="O92" s="47">
        <f>O91*O90*'huile colza tournesol soja'!$D$6</f>
        <v>5463.9658387737154</v>
      </c>
      <c r="P92" s="47">
        <f>P91*P90*'huile colza tournesol soja'!$D$6</f>
        <v>6758.3959549477495</v>
      </c>
      <c r="Q92" s="47">
        <f>Q91*Q90*'huile colza tournesol soja'!$D$6</f>
        <v>0</v>
      </c>
      <c r="R92" s="47">
        <f>R91*R90*'huile colza tournesol soja'!$D$6</f>
        <v>0</v>
      </c>
      <c r="S92" s="47">
        <f>S91*S90*'huile colza tournesol soja'!$D$6</f>
        <v>0</v>
      </c>
      <c r="T92" s="47">
        <f>T91*T90*'huile colza tournesol soja'!$D$6</f>
        <v>0</v>
      </c>
      <c r="U92" s="47">
        <f>U91*U90*'huile colza tournesol soja'!$D$6</f>
        <v>0</v>
      </c>
      <c r="V92" s="47">
        <f>V91*V90*'huile colza tournesol soja'!$D$6</f>
        <v>0</v>
      </c>
      <c r="W92" s="47">
        <f>W91*W90*'huile colza tournesol soja'!$D$6</f>
        <v>5250.7788709089073</v>
      </c>
      <c r="X92" s="47">
        <f>X91*X90*'huile colza tournesol soja'!$D$6</f>
        <v>5250.7788709089073</v>
      </c>
      <c r="Y92" s="74"/>
      <c r="Z92" s="74"/>
      <c r="AJ92" s="157"/>
      <c r="AK92" s="124"/>
      <c r="AL92" s="74"/>
      <c r="AM92" s="74"/>
      <c r="AN92" s="74"/>
      <c r="AO92" s="74"/>
      <c r="AP92" s="74"/>
      <c r="AQ92" s="74"/>
      <c r="AR92" s="157"/>
      <c r="AS92" s="74"/>
      <c r="AT92" s="74"/>
      <c r="AU92" s="74"/>
      <c r="AV92" s="509"/>
      <c r="AW92" s="232"/>
      <c r="AX92" s="158"/>
      <c r="AY92" s="158"/>
      <c r="AZ92" s="158"/>
      <c r="BA92" s="157"/>
      <c r="BB92" s="74"/>
      <c r="BC92" s="74"/>
      <c r="BD92" s="74"/>
      <c r="BE92" s="74"/>
      <c r="BF92" s="232"/>
      <c r="BG92" s="74"/>
      <c r="BH92" s="74"/>
      <c r="BI92" s="74"/>
      <c r="BJ92" s="74"/>
      <c r="BK92" s="74"/>
      <c r="BL92" s="74"/>
      <c r="BM92" s="74"/>
      <c r="BN92" s="74"/>
      <c r="BO92" s="74"/>
      <c r="BP92" s="74"/>
      <c r="BQ92" s="74"/>
      <c r="BR92" s="74"/>
    </row>
    <row r="93" spans="1:70" s="4" customFormat="1" x14ac:dyDescent="0.3">
      <c r="A93" s="14"/>
      <c r="B93" s="48" t="s">
        <v>400</v>
      </c>
      <c r="C93" s="20">
        <f t="shared" ref="C93:P93" si="51">C6</f>
        <v>3.1</v>
      </c>
      <c r="D93" s="49">
        <f t="shared" si="51"/>
        <v>2</v>
      </c>
      <c r="E93" s="49">
        <f t="shared" si="51"/>
        <v>2.7</v>
      </c>
      <c r="F93" s="49">
        <f t="shared" si="51"/>
        <v>2.2000000000000002</v>
      </c>
      <c r="G93" s="49">
        <f t="shared" si="51"/>
        <v>1</v>
      </c>
      <c r="H93" s="49">
        <f t="shared" si="51"/>
        <v>2.5</v>
      </c>
      <c r="I93" s="49">
        <f t="shared" si="51"/>
        <v>2.5</v>
      </c>
      <c r="J93" s="49">
        <f t="shared" si="51"/>
        <v>2.5</v>
      </c>
      <c r="K93" s="49">
        <f t="shared" si="51"/>
        <v>2.5</v>
      </c>
      <c r="L93" s="49">
        <f t="shared" si="51"/>
        <v>2.5</v>
      </c>
      <c r="M93" s="49">
        <f t="shared" si="51"/>
        <v>2.5</v>
      </c>
      <c r="N93" s="49">
        <f t="shared" si="51"/>
        <v>2.5</v>
      </c>
      <c r="O93" s="49">
        <f t="shared" si="51"/>
        <v>2.5</v>
      </c>
      <c r="P93" s="49">
        <f t="shared" si="51"/>
        <v>2.5</v>
      </c>
      <c r="Q93" s="49">
        <f>$O$93+(2/8)*($W$93-$O$93)</f>
        <v>2.5</v>
      </c>
      <c r="R93" s="49">
        <f>$O$93+(3/8)*($W$93-$O$93)</f>
        <v>2.5</v>
      </c>
      <c r="S93" s="49">
        <f>$O$93+(4/8)*($W$93-$O$93)</f>
        <v>2.5</v>
      </c>
      <c r="T93" s="49">
        <f>$O$93+(5/8)*($W$93-$O$93)</f>
        <v>2.5</v>
      </c>
      <c r="U93" s="49">
        <f>$O$93+(6/8)*($W$93-$O$93)</f>
        <v>2.5</v>
      </c>
      <c r="V93" s="49">
        <f>$O$93+(7/8)*($W$93-$O$93)</f>
        <v>2.5</v>
      </c>
      <c r="W93" s="49">
        <f>W6</f>
        <v>2.5</v>
      </c>
      <c r="X93" s="48">
        <f>X6</f>
        <v>2.5</v>
      </c>
      <c r="Y93" s="57"/>
      <c r="Z93" s="57"/>
      <c r="AJ93" s="157"/>
      <c r="AK93" s="240"/>
      <c r="AL93" s="57"/>
      <c r="AM93" s="57"/>
      <c r="AN93" s="57"/>
      <c r="AO93" s="57"/>
      <c r="AP93" s="57"/>
      <c r="AQ93" s="57"/>
      <c r="AR93" s="157"/>
      <c r="AS93" s="57"/>
      <c r="AT93" s="57"/>
      <c r="AU93" s="57"/>
      <c r="AV93" s="57"/>
      <c r="AW93" s="157"/>
      <c r="AX93" s="157"/>
      <c r="AY93" s="157"/>
      <c r="AZ93" s="157"/>
      <c r="BA93" s="157"/>
      <c r="BB93" s="74"/>
      <c r="BC93" s="74"/>
      <c r="BD93" s="74"/>
      <c r="BE93" s="74"/>
      <c r="BF93" s="232"/>
      <c r="BG93" s="57"/>
      <c r="BH93" s="57"/>
      <c r="BI93" s="57"/>
      <c r="BJ93" s="57"/>
      <c r="BK93" s="57"/>
      <c r="BL93" s="57"/>
      <c r="BM93" s="57"/>
      <c r="BN93" s="57"/>
      <c r="BO93" s="57"/>
      <c r="BP93" s="57"/>
      <c r="BQ93" s="57"/>
      <c r="BR93" s="57"/>
    </row>
    <row r="94" spans="1:70" s="3" customFormat="1" x14ac:dyDescent="0.3">
      <c r="A94" s="16"/>
      <c r="B94" s="47" t="s">
        <v>401</v>
      </c>
      <c r="C94" s="16">
        <f t="shared" ref="C94:O94" si="52">C93*C66/1000</f>
        <v>23492.041799999999</v>
      </c>
      <c r="D94" s="47">
        <f t="shared" si="52"/>
        <v>15268.446</v>
      </c>
      <c r="E94" s="47">
        <f t="shared" si="52"/>
        <v>20777.212800000001</v>
      </c>
      <c r="F94" s="47">
        <f t="shared" si="52"/>
        <v>17066.708999999999</v>
      </c>
      <c r="G94" s="47">
        <f t="shared" si="52"/>
        <v>7820.9660000000003</v>
      </c>
      <c r="H94" s="47">
        <f t="shared" si="52"/>
        <v>19694.244999999999</v>
      </c>
      <c r="I94" s="47">
        <f t="shared" si="52"/>
        <v>19792.2225</v>
      </c>
      <c r="J94" s="47">
        <f t="shared" si="52"/>
        <v>19870.717499999999</v>
      </c>
      <c r="K94" s="47">
        <f t="shared" si="52"/>
        <v>19986.147499999999</v>
      </c>
      <c r="L94" s="47">
        <f t="shared" si="52"/>
        <v>20107.34</v>
      </c>
      <c r="M94" s="47">
        <f t="shared" si="52"/>
        <v>20196.63</v>
      </c>
      <c r="N94" s="47">
        <f t="shared" si="52"/>
        <v>20284.767500000002</v>
      </c>
      <c r="O94" s="47">
        <f t="shared" si="52"/>
        <v>20390.977500000001</v>
      </c>
      <c r="P94" s="47">
        <f t="shared" ref="P94:V94" si="53">P93*P66/1000</f>
        <v>20493.3125</v>
      </c>
      <c r="Q94" s="47">
        <f t="shared" si="53"/>
        <v>0</v>
      </c>
      <c r="R94" s="47">
        <f t="shared" si="53"/>
        <v>0</v>
      </c>
      <c r="S94" s="47">
        <f t="shared" si="53"/>
        <v>0</v>
      </c>
      <c r="T94" s="47">
        <f t="shared" si="53"/>
        <v>0</v>
      </c>
      <c r="U94" s="47">
        <f t="shared" si="53"/>
        <v>0</v>
      </c>
      <c r="V94" s="47">
        <f t="shared" si="53"/>
        <v>0</v>
      </c>
      <c r="W94" s="47">
        <f>W93*W66/1000</f>
        <v>20919.5</v>
      </c>
      <c r="X94" s="47">
        <f>X93*X66/1000</f>
        <v>20919.5</v>
      </c>
      <c r="Y94" s="74"/>
      <c r="Z94" s="74"/>
      <c r="AJ94" s="157"/>
      <c r="AK94" s="240"/>
      <c r="AL94" s="74"/>
      <c r="AM94" s="74"/>
      <c r="AN94" s="74"/>
      <c r="AO94" s="74"/>
      <c r="AP94" s="74"/>
      <c r="AQ94" s="74"/>
      <c r="AR94" s="157"/>
      <c r="AS94" s="74"/>
      <c r="AT94" s="74"/>
      <c r="AU94" s="74"/>
      <c r="AV94" s="74"/>
      <c r="AW94" s="157"/>
      <c r="AX94" s="158"/>
      <c r="AY94" s="158"/>
      <c r="AZ94" s="158"/>
      <c r="BA94" s="157"/>
      <c r="BB94" s="74"/>
      <c r="BC94" s="74"/>
      <c r="BD94" s="74"/>
      <c r="BE94" s="74"/>
      <c r="BF94" s="232"/>
      <c r="BG94" s="74"/>
      <c r="BH94" s="74"/>
      <c r="BI94" s="74"/>
      <c r="BJ94" s="74"/>
      <c r="BK94" s="74"/>
      <c r="BL94" s="74"/>
      <c r="BM94" s="74"/>
      <c r="BN94" s="74"/>
      <c r="BO94" s="74"/>
      <c r="BP94" s="74"/>
      <c r="BQ94" s="74"/>
      <c r="BR94" s="74"/>
    </row>
    <row r="95" spans="1:70" s="6" customFormat="1" x14ac:dyDescent="0.3">
      <c r="A95" s="205"/>
      <c r="B95" s="181" t="s">
        <v>402</v>
      </c>
      <c r="C95" s="205">
        <f>(C92-C94)/(C91*'huile colza tournesol soja'!$D$6)</f>
        <v>-14791.644448115725</v>
      </c>
      <c r="D95" s="181">
        <f>(D92-D94)/(D91*'huile colza tournesol soja'!$D$6)</f>
        <v>-9193.3145448697724</v>
      </c>
      <c r="E95" s="181">
        <f>(E92-E94)/(E91*'huile colza tournesol soja'!$D$6)</f>
        <v>-11506.899071488762</v>
      </c>
      <c r="F95" s="181">
        <f>(F92-F94)/(F91*'huile colza tournesol soja'!$D$6)</f>
        <v>-9853.6207528913365</v>
      </c>
      <c r="G95" s="181">
        <f>(G92-G94)/(G91*'huile colza tournesol soja'!$D$6)</f>
        <v>-1169.2209466183822</v>
      </c>
      <c r="H95" s="181">
        <f>(H92-H94)/(H91*'huile colza tournesol soja'!$D$6)</f>
        <v>-11188.89135801944</v>
      </c>
      <c r="I95" s="181">
        <f>(I92-I94)/(I91*'huile colza tournesol soja'!$D$6)</f>
        <v>-8926.9915483532805</v>
      </c>
      <c r="J95" s="181">
        <f>(J92-J94)/(J91*'huile colza tournesol soja'!$D$6)</f>
        <v>-8018.4895529218638</v>
      </c>
      <c r="K95" s="181">
        <f>(K92-K94)/(K91*'huile colza tournesol soja'!$D$6)</f>
        <v>-9178.2651497132592</v>
      </c>
      <c r="L95" s="181">
        <f>(L92-L94)/(L91*'huile colza tournesol soja'!$D$6)</f>
        <v>-13851.831856181294</v>
      </c>
      <c r="M95" s="181">
        <f>(M92-M94)/(M91*'huile colza tournesol soja'!$D$6)</f>
        <v>-13819.724185473509</v>
      </c>
      <c r="N95" s="181">
        <f>(N92-N94)/(N91*'huile colza tournesol soja'!$D$6)</f>
        <v>-11698.365663748902</v>
      </c>
      <c r="O95" s="181">
        <f>(O92-O94)/(O91*'huile colza tournesol soja'!$D$6)</f>
        <v>-11610.0269590311</v>
      </c>
      <c r="P95" s="181">
        <f>(P92-P94)/(P91*'huile colza tournesol soja'!$D$6)</f>
        <v>-10303.763349626595</v>
      </c>
      <c r="Q95" s="181" t="e">
        <f>(Q92-Q94)/(Q91*'huile colza tournesol soja'!$D$6)</f>
        <v>#DIV/0!</v>
      </c>
      <c r="R95" s="181" t="e">
        <f>(R92-R94)/(R91*'huile colza tournesol soja'!$D$6)</f>
        <v>#DIV/0!</v>
      </c>
      <c r="S95" s="181" t="e">
        <f>(S92-S94)/(S91*'huile colza tournesol soja'!$D$6)</f>
        <v>#DIV/0!</v>
      </c>
      <c r="T95" s="181" t="e">
        <f>(T92-T94)/(T91*'huile colza tournesol soja'!$D$6)</f>
        <v>#DIV/0!</v>
      </c>
      <c r="U95" s="181" t="e">
        <f>(U92-U94)/(U91*'huile colza tournesol soja'!$D$6)</f>
        <v>#DIV/0!</v>
      </c>
      <c r="V95" s="181" t="e">
        <f>(V92-V94)/(V91*'huile colza tournesol soja'!$D$6)</f>
        <v>#DIV/0!</v>
      </c>
      <c r="W95" s="181">
        <f>(W92-W94)/(W91*'huile colza tournesol soja'!$D$6)</f>
        <v>-12436.479981816885</v>
      </c>
      <c r="X95" s="181">
        <f>(X92-X94)/(X91*'huile colza tournesol soja'!$D$6)</f>
        <v>-12436.479981816885</v>
      </c>
      <c r="Y95" s="303"/>
      <c r="Z95" s="285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57"/>
      <c r="AX95" s="158"/>
      <c r="AY95" s="158"/>
      <c r="AZ95" s="158"/>
      <c r="BA95" s="157"/>
      <c r="BB95" s="74"/>
      <c r="BC95" s="74"/>
      <c r="BD95" s="74"/>
      <c r="BE95" s="74"/>
      <c r="BF95" s="232"/>
      <c r="BG95" s="121"/>
      <c r="BH95" s="121"/>
      <c r="BI95" s="121"/>
      <c r="BJ95" s="121"/>
      <c r="BK95" s="121"/>
      <c r="BL95" s="121"/>
      <c r="BM95" s="121"/>
      <c r="BN95" s="121"/>
      <c r="BO95" s="121"/>
      <c r="BP95" s="121"/>
      <c r="BQ95" s="121"/>
      <c r="BR95" s="121"/>
    </row>
    <row r="96" spans="1:70" s="6" customFormat="1" x14ac:dyDescent="0.3">
      <c r="A96" s="144"/>
      <c r="B96" s="70" t="s">
        <v>396</v>
      </c>
      <c r="C96" s="418">
        <v>34478</v>
      </c>
      <c r="D96" s="244">
        <v>37940</v>
      </c>
      <c r="E96" s="244">
        <v>35625</v>
      </c>
      <c r="F96" s="244">
        <v>31995</v>
      </c>
      <c r="G96" s="244">
        <v>34065</v>
      </c>
      <c r="H96" s="244">
        <v>30153</v>
      </c>
      <c r="I96" s="244">
        <v>25685</v>
      </c>
      <c r="J96" s="244">
        <v>29225</v>
      </c>
      <c r="K96" s="244">
        <v>27020</v>
      </c>
      <c r="L96" s="244">
        <v>28959</v>
      </c>
      <c r="M96" s="244">
        <v>34468</v>
      </c>
      <c r="N96" s="244">
        <v>33755</v>
      </c>
      <c r="O96" s="244">
        <v>44215</v>
      </c>
      <c r="P96" s="244">
        <v>44370</v>
      </c>
      <c r="Q96" s="244"/>
      <c r="R96" s="244"/>
      <c r="S96" s="244"/>
      <c r="T96" s="244"/>
      <c r="U96" s="244"/>
      <c r="V96" s="244"/>
      <c r="W96" s="247">
        <f>AVERAGE(N96:P96)</f>
        <v>40780</v>
      </c>
      <c r="X96" s="54">
        <f>W96</f>
        <v>40780</v>
      </c>
      <c r="Y96" s="303"/>
      <c r="Z96" s="303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57"/>
      <c r="AX96" s="158"/>
      <c r="AY96" s="158"/>
      <c r="AZ96" s="158"/>
      <c r="BA96" s="157"/>
      <c r="BB96" s="74"/>
      <c r="BC96" s="74"/>
      <c r="BD96" s="74"/>
      <c r="BE96" s="74"/>
      <c r="BF96" s="232"/>
      <c r="BG96" s="121"/>
      <c r="BH96" s="121"/>
      <c r="BI96" s="121"/>
      <c r="BJ96" s="121"/>
      <c r="BK96" s="121"/>
      <c r="BL96" s="121"/>
      <c r="BM96" s="121"/>
      <c r="BN96" s="121"/>
      <c r="BO96" s="121"/>
      <c r="BP96" s="121"/>
      <c r="BQ96" s="121"/>
      <c r="BR96" s="121"/>
    </row>
    <row r="97" spans="1:70" s="3" customFormat="1" x14ac:dyDescent="0.3">
      <c r="A97" s="16"/>
      <c r="B97" s="47" t="s">
        <v>397</v>
      </c>
      <c r="C97" s="16">
        <f t="shared" ref="C97:V97" si="54">C96*$F$46</f>
        <v>22410.7</v>
      </c>
      <c r="D97" s="47">
        <f t="shared" si="54"/>
        <v>24661</v>
      </c>
      <c r="E97" s="47">
        <f t="shared" si="54"/>
        <v>23156.25</v>
      </c>
      <c r="F97" s="47">
        <f t="shared" si="54"/>
        <v>20796.75</v>
      </c>
      <c r="G97" s="47">
        <f t="shared" si="54"/>
        <v>22142.25</v>
      </c>
      <c r="H97" s="47">
        <f t="shared" si="54"/>
        <v>19599.45</v>
      </c>
      <c r="I97" s="47">
        <f t="shared" si="54"/>
        <v>16695.25</v>
      </c>
      <c r="J97" s="47">
        <f t="shared" si="54"/>
        <v>18996.25</v>
      </c>
      <c r="K97" s="47">
        <f t="shared" si="54"/>
        <v>17563</v>
      </c>
      <c r="L97" s="47">
        <f t="shared" si="54"/>
        <v>18823.350000000002</v>
      </c>
      <c r="M97" s="47">
        <f t="shared" si="54"/>
        <v>22404.2</v>
      </c>
      <c r="N97" s="47">
        <f t="shared" si="54"/>
        <v>21940.75</v>
      </c>
      <c r="O97" s="47">
        <f t="shared" si="54"/>
        <v>28739.75</v>
      </c>
      <c r="P97" s="47">
        <f t="shared" si="54"/>
        <v>28840.5</v>
      </c>
      <c r="Q97" s="47">
        <f t="shared" si="54"/>
        <v>0</v>
      </c>
      <c r="R97" s="47">
        <f t="shared" si="54"/>
        <v>0</v>
      </c>
      <c r="S97" s="47">
        <f t="shared" si="54"/>
        <v>0</v>
      </c>
      <c r="T97" s="47">
        <f t="shared" si="54"/>
        <v>0</v>
      </c>
      <c r="U97" s="47">
        <f t="shared" si="54"/>
        <v>0</v>
      </c>
      <c r="V97" s="47">
        <f t="shared" si="54"/>
        <v>0</v>
      </c>
      <c r="W97" s="47">
        <f>AVERAGE(N97:P97)</f>
        <v>26507</v>
      </c>
      <c r="X97" s="47">
        <f>W97</f>
        <v>26507</v>
      </c>
      <c r="Y97" s="74"/>
      <c r="Z97" s="74"/>
      <c r="AM97" s="74"/>
      <c r="AN97" s="74"/>
      <c r="AO97" s="74"/>
      <c r="AP97" s="74"/>
      <c r="AQ97" s="74"/>
      <c r="AR97" s="74"/>
      <c r="AS97" s="74"/>
      <c r="AT97" s="74"/>
      <c r="AU97" s="74"/>
      <c r="AV97" s="74"/>
      <c r="AW97" s="157"/>
      <c r="AX97" s="158"/>
      <c r="AY97" s="158"/>
      <c r="AZ97" s="158"/>
      <c r="BA97" s="157"/>
      <c r="BB97" s="74"/>
      <c r="BC97" s="74"/>
      <c r="BD97" s="74"/>
      <c r="BE97" s="74"/>
      <c r="BF97" s="232"/>
      <c r="BG97" s="74"/>
      <c r="BH97" s="74"/>
      <c r="BI97" s="74"/>
      <c r="BJ97" s="74"/>
      <c r="BK97" s="74"/>
      <c r="BL97" s="74"/>
      <c r="BM97" s="74"/>
      <c r="BN97" s="74"/>
      <c r="BO97" s="74"/>
      <c r="BP97" s="74"/>
      <c r="BQ97" s="74"/>
      <c r="BR97" s="74"/>
    </row>
    <row r="98" spans="1:70" s="4" customFormat="1" x14ac:dyDescent="0.3">
      <c r="A98" s="14" t="s">
        <v>68</v>
      </c>
      <c r="B98" s="48" t="s">
        <v>398</v>
      </c>
      <c r="C98" s="411">
        <v>2.38</v>
      </c>
      <c r="D98" s="101">
        <v>2.92</v>
      </c>
      <c r="E98" s="101">
        <v>2.57</v>
      </c>
      <c r="F98" s="101">
        <v>2.1</v>
      </c>
      <c r="G98" s="101">
        <v>2.31</v>
      </c>
      <c r="H98" s="101">
        <v>1.92</v>
      </c>
      <c r="I98" s="101">
        <v>2.46</v>
      </c>
      <c r="J98" s="101">
        <v>2.58</v>
      </c>
      <c r="K98" s="101">
        <v>2.4</v>
      </c>
      <c r="L98" s="101">
        <v>2.2799999999999998</v>
      </c>
      <c r="M98" s="101">
        <v>2.27</v>
      </c>
      <c r="N98" s="101">
        <v>2.7</v>
      </c>
      <c r="O98" s="101">
        <v>2.34</v>
      </c>
      <c r="P98" s="101">
        <v>2.48</v>
      </c>
      <c r="Q98" s="101"/>
      <c r="R98" s="101"/>
      <c r="S98" s="101"/>
      <c r="T98" s="123"/>
      <c r="U98" s="123"/>
      <c r="V98" s="101"/>
      <c r="W98" s="123">
        <v>2.41</v>
      </c>
      <c r="X98" s="92">
        <f>W98*(1+'Hypothèses production'!B3)</f>
        <v>2.41</v>
      </c>
      <c r="Y98" s="57"/>
      <c r="Z98" s="57"/>
      <c r="AM98" s="57"/>
      <c r="AN98" s="57"/>
      <c r="AO98" s="57"/>
      <c r="AP98" s="57"/>
      <c r="AQ98" s="57"/>
      <c r="AR98" s="57"/>
      <c r="AS98" s="57"/>
      <c r="AT98" s="57"/>
      <c r="AU98" s="57"/>
      <c r="AV98" s="57"/>
      <c r="AW98" s="157"/>
      <c r="AX98" s="158"/>
      <c r="AY98" s="158"/>
      <c r="AZ98" s="158"/>
      <c r="BA98" s="157"/>
      <c r="BB98" s="74"/>
      <c r="BC98" s="74"/>
      <c r="BD98" s="74"/>
      <c r="BE98" s="74"/>
      <c r="BF98" s="232"/>
      <c r="BG98" s="57"/>
      <c r="BH98" s="57"/>
      <c r="BI98" s="57"/>
      <c r="BJ98" s="57"/>
      <c r="BK98" s="57"/>
      <c r="BL98" s="57"/>
      <c r="BM98" s="57"/>
      <c r="BN98" s="57"/>
      <c r="BO98" s="57"/>
      <c r="BP98" s="57"/>
      <c r="BQ98" s="57"/>
      <c r="BR98" s="57"/>
    </row>
    <row r="99" spans="1:70" s="3" customFormat="1" x14ac:dyDescent="0.3">
      <c r="A99" s="16" t="s">
        <v>67</v>
      </c>
      <c r="B99" s="47" t="s">
        <v>399</v>
      </c>
      <c r="C99" s="16">
        <f>C98*C97*'huile colza tournesol soja'!$D$7</f>
        <v>24001.859700000001</v>
      </c>
      <c r="D99" s="47">
        <f>D98*D97*'huile colza tournesol soja'!$D$7</f>
        <v>32404.554</v>
      </c>
      <c r="E99" s="47">
        <f>E98*E97*'huile colza tournesol soja'!$D$7</f>
        <v>26780.203124999996</v>
      </c>
      <c r="F99" s="47">
        <f>F98*F97*'huile colza tournesol soja'!$D$7</f>
        <v>19652.928750000003</v>
      </c>
      <c r="G99" s="47">
        <f>G98*G97*'huile colza tournesol soja'!$D$7</f>
        <v>23016.868875000004</v>
      </c>
      <c r="H99" s="47">
        <f>H98*H97*'huile colza tournesol soja'!$D$7</f>
        <v>16933.924800000001</v>
      </c>
      <c r="I99" s="47">
        <f>I98*I97*'huile colza tournesol soja'!$D$7</f>
        <v>18481.641750000003</v>
      </c>
      <c r="J99" s="47">
        <f>J98*J97*'huile colza tournesol soja'!$D$7</f>
        <v>22054.646250000002</v>
      </c>
      <c r="K99" s="47">
        <f>K98*K97*'huile colza tournesol soja'!$D$7</f>
        <v>18968.04</v>
      </c>
      <c r="L99" s="47">
        <f>L98*L97*'huile colza tournesol soja'!$D$7</f>
        <v>19312.757100000003</v>
      </c>
      <c r="M99" s="47">
        <f>M98*M97*'huile colza tournesol soja'!$D$7</f>
        <v>22885.890299999999</v>
      </c>
      <c r="N99" s="47">
        <f>N98*N97*'huile colza tournesol soja'!$D$7</f>
        <v>26658.01125</v>
      </c>
      <c r="O99" s="47">
        <f>O98*O97*'huile colza tournesol soja'!$D$7</f>
        <v>30262.956750000001</v>
      </c>
      <c r="P99" s="47">
        <f>P98*P97*'huile colza tournesol soja'!$D$7</f>
        <v>32185.998000000003</v>
      </c>
      <c r="Q99" s="47">
        <f>Q98*Q97*'huile colza tournesol soja'!$D$7</f>
        <v>0</v>
      </c>
      <c r="R99" s="47">
        <f>R98*R97*'huile colza tournesol soja'!$D$7</f>
        <v>0</v>
      </c>
      <c r="S99" s="47">
        <f>S98*S97*'huile colza tournesol soja'!$D$7</f>
        <v>0</v>
      </c>
      <c r="T99" s="47">
        <f>T98*T97*'huile colza tournesol soja'!$D$7</f>
        <v>0</v>
      </c>
      <c r="U99" s="47">
        <f>U98*U97*'huile colza tournesol soja'!$D$7</f>
        <v>0</v>
      </c>
      <c r="V99" s="47">
        <f>V98*V97*'huile colza tournesol soja'!$D$7</f>
        <v>0</v>
      </c>
      <c r="W99" s="47">
        <f>W98*W97*'huile colza tournesol soja'!$D$7</f>
        <v>28746.841500000002</v>
      </c>
      <c r="X99" s="47">
        <f>X98*X97*'huile colza tournesol soja'!$D$7</f>
        <v>28746.841500000002</v>
      </c>
      <c r="Y99" s="74"/>
      <c r="Z99" s="285"/>
      <c r="AM99" s="74"/>
      <c r="AN99" s="74"/>
      <c r="AO99" s="74"/>
      <c r="AP99" s="74"/>
      <c r="AQ99" s="74"/>
      <c r="AR99" s="74"/>
      <c r="AS99" s="74"/>
      <c r="AT99" s="74"/>
      <c r="AU99" s="74"/>
      <c r="AV99" s="509"/>
      <c r="AW99" s="232"/>
      <c r="AX99" s="158"/>
      <c r="AY99" s="158"/>
      <c r="AZ99" s="158"/>
      <c r="BA99" s="157"/>
      <c r="BB99" s="74"/>
      <c r="BC99" s="74"/>
      <c r="BD99" s="74"/>
      <c r="BE99" s="74"/>
      <c r="BF99" s="232"/>
      <c r="BG99" s="74"/>
      <c r="BH99" s="74"/>
      <c r="BI99" s="74"/>
      <c r="BJ99" s="74"/>
      <c r="BK99" s="74"/>
      <c r="BL99" s="74"/>
      <c r="BM99" s="74"/>
      <c r="BN99" s="74"/>
      <c r="BO99" s="74"/>
      <c r="BP99" s="74"/>
      <c r="BQ99" s="74"/>
      <c r="BR99" s="74"/>
    </row>
    <row r="100" spans="1:70" s="4" customFormat="1" x14ac:dyDescent="0.3">
      <c r="A100" s="14"/>
      <c r="B100" s="48" t="s">
        <v>400</v>
      </c>
      <c r="C100" s="14">
        <f t="shared" ref="C100:P100" si="55">C7</f>
        <v>3.9</v>
      </c>
      <c r="D100" s="48">
        <f t="shared" si="55"/>
        <v>4.7</v>
      </c>
      <c r="E100" s="48">
        <f t="shared" si="55"/>
        <v>4.7</v>
      </c>
      <c r="F100" s="48">
        <f t="shared" si="55"/>
        <v>5.4</v>
      </c>
      <c r="G100" s="48">
        <f t="shared" si="55"/>
        <v>4.9000000000000004</v>
      </c>
      <c r="H100" s="48">
        <f t="shared" si="55"/>
        <v>4.9000000000000004</v>
      </c>
      <c r="I100" s="48">
        <f t="shared" si="55"/>
        <v>4.9000000000000004</v>
      </c>
      <c r="J100" s="48">
        <f t="shared" si="55"/>
        <v>4.9000000000000004</v>
      </c>
      <c r="K100" s="48">
        <f t="shared" si="55"/>
        <v>4.9000000000000004</v>
      </c>
      <c r="L100" s="48">
        <f t="shared" si="55"/>
        <v>4.9000000000000004</v>
      </c>
      <c r="M100" s="48">
        <f t="shared" si="55"/>
        <v>4.9000000000000004</v>
      </c>
      <c r="N100" s="48">
        <f t="shared" si="55"/>
        <v>4.9000000000000004</v>
      </c>
      <c r="O100" s="48">
        <f t="shared" si="55"/>
        <v>4.9000000000000004</v>
      </c>
      <c r="P100" s="48">
        <f t="shared" si="55"/>
        <v>4.9000000000000004</v>
      </c>
      <c r="Q100" s="49">
        <f>$O$100+(2/8)*($W$100-$O$100)</f>
        <v>4.9000000000000004</v>
      </c>
      <c r="R100" s="49">
        <f>$O$100+(3/8)*($W$100-$O$100)</f>
        <v>4.9000000000000004</v>
      </c>
      <c r="S100" s="49">
        <f>$O$100+(4/8)*($W$100-$O$100)</f>
        <v>4.9000000000000004</v>
      </c>
      <c r="T100" s="49">
        <f>$O$100+(5/8)*($W$100-$O$100)</f>
        <v>4.9000000000000004</v>
      </c>
      <c r="U100" s="49">
        <f>$O$100+(6/8)*($W$100-$O$100)</f>
        <v>4.9000000000000004</v>
      </c>
      <c r="V100" s="49">
        <f>$O$100+(7/8)*($W$100-$O$100)</f>
        <v>4.9000000000000004</v>
      </c>
      <c r="W100" s="48">
        <f>W7</f>
        <v>4.9000000000000004</v>
      </c>
      <c r="X100" s="48">
        <f>X7</f>
        <v>4.9000000000000004</v>
      </c>
      <c r="Y100" s="57"/>
      <c r="Z100" s="57"/>
      <c r="AM100" s="57"/>
      <c r="AN100" s="57"/>
      <c r="AO100" s="57"/>
      <c r="AP100" s="57"/>
      <c r="AQ100" s="57"/>
      <c r="AR100" s="57"/>
      <c r="AS100" s="57"/>
      <c r="AT100" s="57"/>
      <c r="AU100" s="57"/>
      <c r="AV100" s="57"/>
      <c r="AW100" s="157"/>
      <c r="AX100" s="158"/>
      <c r="AY100" s="158"/>
      <c r="AZ100" s="158"/>
      <c r="BA100" s="157"/>
      <c r="BB100" s="74"/>
      <c r="BC100" s="74"/>
      <c r="BD100" s="74"/>
      <c r="BE100" s="74"/>
      <c r="BF100" s="232"/>
      <c r="BG100" s="57"/>
      <c r="BH100" s="57"/>
      <c r="BI100" s="57"/>
      <c r="BJ100" s="57"/>
      <c r="BK100" s="57"/>
      <c r="BL100" s="57"/>
      <c r="BM100" s="57"/>
      <c r="BN100" s="57"/>
      <c r="BO100" s="57"/>
      <c r="BP100" s="57"/>
      <c r="BQ100" s="57"/>
      <c r="BR100" s="57"/>
    </row>
    <row r="101" spans="1:70" s="3" customFormat="1" x14ac:dyDescent="0.3">
      <c r="A101" s="16"/>
      <c r="B101" s="47" t="s">
        <v>401</v>
      </c>
      <c r="C101" s="16">
        <f t="shared" ref="C101:O101" si="56">C100*C66/1000</f>
        <v>29554.504199999999</v>
      </c>
      <c r="D101" s="47">
        <f t="shared" si="56"/>
        <v>35880.848100000003</v>
      </c>
      <c r="E101" s="47">
        <f t="shared" si="56"/>
        <v>36167.740800000007</v>
      </c>
      <c r="F101" s="47">
        <f t="shared" si="56"/>
        <v>41891.012999999999</v>
      </c>
      <c r="G101" s="47">
        <f t="shared" si="56"/>
        <v>38322.733400000005</v>
      </c>
      <c r="H101" s="47">
        <f t="shared" si="56"/>
        <v>38600.720200000003</v>
      </c>
      <c r="I101" s="47">
        <f t="shared" si="56"/>
        <v>38792.756099999999</v>
      </c>
      <c r="J101" s="47">
        <f t="shared" si="56"/>
        <v>38946.606300000007</v>
      </c>
      <c r="K101" s="47">
        <f t="shared" si="56"/>
        <v>39172.849099999999</v>
      </c>
      <c r="L101" s="47">
        <f t="shared" si="56"/>
        <v>39410.386400000003</v>
      </c>
      <c r="M101" s="47">
        <f t="shared" si="56"/>
        <v>39585.394800000002</v>
      </c>
      <c r="N101" s="47">
        <f t="shared" si="56"/>
        <v>39758.144300000007</v>
      </c>
      <c r="O101" s="47">
        <f t="shared" si="56"/>
        <v>39966.315900000009</v>
      </c>
      <c r="P101" s="47">
        <f t="shared" ref="P101:V101" si="57">P100*P66/1000</f>
        <v>40166.892500000002</v>
      </c>
      <c r="Q101" s="47">
        <f t="shared" si="57"/>
        <v>0</v>
      </c>
      <c r="R101" s="47">
        <f t="shared" si="57"/>
        <v>0</v>
      </c>
      <c r="S101" s="47">
        <f t="shared" si="57"/>
        <v>0</v>
      </c>
      <c r="T101" s="47">
        <f t="shared" si="57"/>
        <v>0</v>
      </c>
      <c r="U101" s="47">
        <f t="shared" si="57"/>
        <v>0</v>
      </c>
      <c r="V101" s="47">
        <f t="shared" si="57"/>
        <v>0</v>
      </c>
      <c r="W101" s="47">
        <f>W100*W66/1000</f>
        <v>41002.22</v>
      </c>
      <c r="X101" s="47">
        <f>X100*X66/1000</f>
        <v>41002.22</v>
      </c>
      <c r="Y101" s="74"/>
      <c r="Z101" s="74"/>
      <c r="AM101" s="74"/>
      <c r="AN101" s="74"/>
      <c r="AO101" s="74"/>
      <c r="AP101" s="74"/>
      <c r="AQ101" s="74"/>
      <c r="AR101" s="74"/>
      <c r="AS101" s="74"/>
      <c r="AT101" s="74"/>
      <c r="AU101" s="74"/>
      <c r="AV101" s="74"/>
      <c r="AW101" s="157"/>
      <c r="AX101" s="158"/>
      <c r="AY101" s="158"/>
      <c r="AZ101" s="158"/>
      <c r="BA101" s="157"/>
      <c r="BB101" s="74"/>
      <c r="BC101" s="74"/>
      <c r="BD101" s="74"/>
      <c r="BE101" s="74"/>
      <c r="BF101" s="232"/>
      <c r="BG101" s="74"/>
      <c r="BH101" s="74"/>
      <c r="BI101" s="74"/>
      <c r="BJ101" s="74"/>
      <c r="BK101" s="74"/>
      <c r="BL101" s="74"/>
      <c r="BM101" s="74"/>
      <c r="BN101" s="74"/>
      <c r="BO101" s="74"/>
      <c r="BP101" s="74"/>
      <c r="BQ101" s="74"/>
      <c r="BR101" s="74"/>
    </row>
    <row r="102" spans="1:70" s="6" customFormat="1" x14ac:dyDescent="0.3">
      <c r="A102" s="205"/>
      <c r="B102" s="181" t="s">
        <v>402</v>
      </c>
      <c r="C102" s="205">
        <f>(C99-C101)/(C98*'huile colza tournesol soja'!$D$7)</f>
        <v>-5184.5420168067212</v>
      </c>
      <c r="D102" s="181">
        <f>(D99-D101)/(D98*'huile colza tournesol soja'!$D$7)</f>
        <v>-2645.5815068493171</v>
      </c>
      <c r="E102" s="181">
        <f>(E99-E101)/(E98*'huile colza tournesol soja'!$D$7)</f>
        <v>-8117.1964332036414</v>
      </c>
      <c r="F102" s="181">
        <f>(F99-F101)/(F98*'huile colza tournesol soja'!$D$7)</f>
        <v>-23532.36428571428</v>
      </c>
      <c r="G102" s="181">
        <f>(G99-G101)/(G98*'huile colza tournesol soja'!$D$7)</f>
        <v>-14724.256397306397</v>
      </c>
      <c r="H102" s="181">
        <f>(H99-H101)/(H98*'huile colza tournesol soja'!$D$7)</f>
        <v>-25077.309490740743</v>
      </c>
      <c r="I102" s="181">
        <f>(I99-I101)/(I98*'huile colza tournesol soja'!$D$7)</f>
        <v>-18347.890108401079</v>
      </c>
      <c r="J102" s="181">
        <f>(J99-J101)/(J98*'huile colza tournesol soja'!$D$7)</f>
        <v>-14549.491860465121</v>
      </c>
      <c r="K102" s="181">
        <f>(K99-K101)/(K98*'huile colza tournesol soja'!$D$7)</f>
        <v>-18708.15657407407</v>
      </c>
      <c r="L102" s="181">
        <f>(L99-L101)/(L98*'huile colza tournesol soja'!$D$7)</f>
        <v>-19588.332651072124</v>
      </c>
      <c r="M102" s="181">
        <f>(M99-M101)/(M98*'huile colza tournesol soja'!$D$7)</f>
        <v>-16348.022026431719</v>
      </c>
      <c r="N102" s="181">
        <f>(N99-N101)/(N98*'huile colza tournesol soja'!$D$7)</f>
        <v>-10782.002510288072</v>
      </c>
      <c r="O102" s="181">
        <f>(O99-O101)/(O98*'huile colza tournesol soja'!$D$7)</f>
        <v>-9214.9659544159622</v>
      </c>
      <c r="P102" s="181">
        <f>(P99-P101)/(P98*'huile colza tournesol soja'!$D$7)</f>
        <v>-7151.3391577060911</v>
      </c>
      <c r="Q102" s="181" t="e">
        <f>(Q99-Q101)/(Q98*'huile colza tournesol soja'!$D$7)</f>
        <v>#DIV/0!</v>
      </c>
      <c r="R102" s="181" t="e">
        <f>(R99-R101)/(R98*'huile colza tournesol soja'!$D$7)</f>
        <v>#DIV/0!</v>
      </c>
      <c r="S102" s="181" t="e">
        <f>(S99-S101)/(S98*'huile colza tournesol soja'!$D$7)</f>
        <v>#DIV/0!</v>
      </c>
      <c r="T102" s="181" t="e">
        <f>(T99-T101)/(T98*'huile colza tournesol soja'!$D$7)</f>
        <v>#DIV/0!</v>
      </c>
      <c r="U102" s="181" t="e">
        <f>(U99-U101)/(U98*'huile colza tournesol soja'!$D$7)</f>
        <v>#DIV/0!</v>
      </c>
      <c r="V102" s="181" t="e">
        <f>(V99-V101)/(V98*'huile colza tournesol soja'!$D$7)</f>
        <v>#DIV/0!</v>
      </c>
      <c r="W102" s="181">
        <f>(W99-W101)/(W98*'huile colza tournesol soja'!$D$7)</f>
        <v>-11300.487321346242</v>
      </c>
      <c r="X102" s="181">
        <f>(X99-X101)/(X98*'huile colza tournesol soja'!$D$7)</f>
        <v>-11300.487321346242</v>
      </c>
      <c r="Y102" s="303"/>
      <c r="Z102" s="303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57"/>
      <c r="AX102" s="158"/>
      <c r="AY102" s="158"/>
      <c r="AZ102" s="158"/>
      <c r="BA102" s="157"/>
      <c r="BB102" s="74"/>
      <c r="BC102" s="74"/>
      <c r="BD102" s="74"/>
      <c r="BE102" s="74"/>
      <c r="BF102" s="232"/>
      <c r="BG102" s="121"/>
      <c r="BH102" s="121"/>
      <c r="BI102" s="121"/>
      <c r="BJ102" s="121"/>
      <c r="BK102" s="121"/>
      <c r="BL102" s="121"/>
      <c r="BM102" s="121"/>
      <c r="BN102" s="121"/>
      <c r="BO102" s="121"/>
      <c r="BP102" s="121"/>
      <c r="BQ102" s="121"/>
      <c r="BR102" s="121"/>
    </row>
    <row r="103" spans="1:70" s="6" customFormat="1" x14ac:dyDescent="0.3">
      <c r="A103" s="144"/>
      <c r="B103" s="70" t="s">
        <v>392</v>
      </c>
      <c r="C103" s="418">
        <v>5050</v>
      </c>
      <c r="D103" s="244">
        <v>5676</v>
      </c>
      <c r="E103" s="244">
        <v>4533</v>
      </c>
      <c r="F103" s="244">
        <v>4510</v>
      </c>
      <c r="G103" s="244">
        <v>7625</v>
      </c>
      <c r="H103" s="244">
        <v>12817</v>
      </c>
      <c r="I103" s="244">
        <v>13700</v>
      </c>
      <c r="J103" s="244">
        <v>15930</v>
      </c>
      <c r="K103" s="244">
        <v>15835</v>
      </c>
      <c r="L103" s="244">
        <v>14465</v>
      </c>
      <c r="M103" s="244">
        <v>14377</v>
      </c>
      <c r="N103" s="244">
        <v>12352</v>
      </c>
      <c r="O103" s="244">
        <v>17878</v>
      </c>
      <c r="P103" s="244">
        <v>17450</v>
      </c>
      <c r="Q103" s="244"/>
      <c r="R103" s="244"/>
      <c r="S103" s="244"/>
      <c r="T103" s="244"/>
      <c r="U103" s="244"/>
      <c r="V103" s="244"/>
      <c r="W103" s="247">
        <f>AVERAGE(N103:P103)</f>
        <v>15893.333333333334</v>
      </c>
      <c r="X103" s="54">
        <f>W103</f>
        <v>15893.333333333334</v>
      </c>
      <c r="Y103" s="303"/>
      <c r="Z103" s="303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57"/>
      <c r="AX103" s="158"/>
      <c r="AY103" s="158"/>
      <c r="AZ103" s="158"/>
      <c r="BA103" s="157"/>
      <c r="BB103" s="74"/>
      <c r="BC103" s="74"/>
      <c r="BD103" s="74"/>
      <c r="BE103" s="74"/>
      <c r="BF103" s="232"/>
      <c r="BG103" s="121"/>
      <c r="BH103" s="121"/>
      <c r="BI103" s="121"/>
      <c r="BJ103" s="121"/>
      <c r="BK103" s="121"/>
      <c r="BL103" s="121"/>
      <c r="BM103" s="121"/>
      <c r="BN103" s="121"/>
      <c r="BO103" s="121"/>
      <c r="BP103" s="121"/>
      <c r="BQ103" s="121"/>
      <c r="BR103" s="121"/>
    </row>
    <row r="104" spans="1:70" s="3" customFormat="1" x14ac:dyDescent="0.3">
      <c r="A104" s="16"/>
      <c r="B104" s="47" t="s">
        <v>139</v>
      </c>
      <c r="C104" s="16">
        <f t="shared" ref="C104:V104" si="58">C103*$F$47</f>
        <v>2379.7260273972606</v>
      </c>
      <c r="D104" s="47">
        <f t="shared" si="58"/>
        <v>2674.7178082191786</v>
      </c>
      <c r="E104" s="47">
        <f t="shared" si="58"/>
        <v>2136.0986301369867</v>
      </c>
      <c r="F104" s="47">
        <f t="shared" si="58"/>
        <v>2125.260273972603</v>
      </c>
      <c r="G104" s="47">
        <f t="shared" si="58"/>
        <v>3593.1506849315074</v>
      </c>
      <c r="H104" s="47">
        <f t="shared" si="58"/>
        <v>6039.791780821919</v>
      </c>
      <c r="I104" s="47">
        <f t="shared" si="58"/>
        <v>6455.8904109589048</v>
      </c>
      <c r="J104" s="47">
        <f t="shared" si="58"/>
        <v>7506.7397260273983</v>
      </c>
      <c r="K104" s="47">
        <f t="shared" si="58"/>
        <v>7461.9726027397273</v>
      </c>
      <c r="L104" s="47">
        <f t="shared" si="58"/>
        <v>6816.3835616438364</v>
      </c>
      <c r="M104" s="47">
        <f t="shared" si="58"/>
        <v>6774.9150684931519</v>
      </c>
      <c r="N104" s="47">
        <f t="shared" si="58"/>
        <v>5820.6684931506861</v>
      </c>
      <c r="O104" s="47">
        <f t="shared" si="58"/>
        <v>8424.7013698630144</v>
      </c>
      <c r="P104" s="47">
        <f t="shared" si="58"/>
        <v>8223.0136986301386</v>
      </c>
      <c r="Q104" s="47">
        <f t="shared" si="58"/>
        <v>0</v>
      </c>
      <c r="R104" s="47">
        <f t="shared" si="58"/>
        <v>0</v>
      </c>
      <c r="S104" s="47">
        <f t="shared" si="58"/>
        <v>0</v>
      </c>
      <c r="T104" s="47">
        <f t="shared" si="58"/>
        <v>0</v>
      </c>
      <c r="U104" s="47">
        <f t="shared" si="58"/>
        <v>0</v>
      </c>
      <c r="V104" s="47">
        <f t="shared" si="58"/>
        <v>0</v>
      </c>
      <c r="W104" s="47">
        <f>AVERAGE(N104:P104)</f>
        <v>7489.4611872146124</v>
      </c>
      <c r="X104" s="47">
        <f>W104</f>
        <v>7489.4611872146124</v>
      </c>
      <c r="Y104" s="74"/>
      <c r="Z104" s="74"/>
      <c r="AM104" s="74"/>
      <c r="AN104" s="74"/>
      <c r="AO104" s="74"/>
      <c r="AP104" s="74"/>
      <c r="AQ104" s="74"/>
      <c r="AR104" s="74"/>
      <c r="AS104" s="74"/>
      <c r="AT104" s="74"/>
      <c r="AU104" s="74"/>
      <c r="AV104" s="74"/>
      <c r="AW104" s="157"/>
      <c r="AX104" s="158"/>
      <c r="AY104" s="158"/>
      <c r="AZ104" s="158"/>
      <c r="BA104" s="157"/>
      <c r="BB104" s="74"/>
      <c r="BC104" s="74"/>
      <c r="BD104" s="74"/>
      <c r="BE104" s="74"/>
      <c r="BF104" s="232"/>
      <c r="BG104" s="74"/>
      <c r="BH104" s="74"/>
      <c r="BI104" s="74"/>
      <c r="BJ104" s="74"/>
      <c r="BK104" s="74"/>
      <c r="BL104" s="74"/>
      <c r="BM104" s="74"/>
      <c r="BN104" s="74"/>
      <c r="BO104" s="74"/>
      <c r="BP104" s="74"/>
      <c r="BQ104" s="74"/>
      <c r="BR104" s="74"/>
    </row>
    <row r="105" spans="1:70" s="4" customFormat="1" x14ac:dyDescent="0.3">
      <c r="A105" s="14"/>
      <c r="B105" s="48" t="s">
        <v>2</v>
      </c>
      <c r="C105" s="411">
        <v>2.92</v>
      </c>
      <c r="D105" s="101">
        <v>3.06</v>
      </c>
      <c r="E105" s="101">
        <v>2.93</v>
      </c>
      <c r="F105" s="101">
        <v>2.98</v>
      </c>
      <c r="G105" s="101">
        <v>3.17</v>
      </c>
      <c r="H105" s="101">
        <v>2.79</v>
      </c>
      <c r="I105" s="101">
        <v>3.27</v>
      </c>
      <c r="J105" s="101">
        <v>3.47</v>
      </c>
      <c r="K105" s="101">
        <v>3.07</v>
      </c>
      <c r="L105" s="101">
        <v>2.93</v>
      </c>
      <c r="M105" s="101">
        <v>2.5299999999999998</v>
      </c>
      <c r="N105" s="101">
        <v>3.05</v>
      </c>
      <c r="O105" s="101">
        <v>2.5099999999999998</v>
      </c>
      <c r="P105" s="101">
        <v>2.71</v>
      </c>
      <c r="Q105" s="101"/>
      <c r="R105" s="101"/>
      <c r="S105" s="101"/>
      <c r="T105" s="123"/>
      <c r="U105" s="123"/>
      <c r="V105" s="101"/>
      <c r="W105" s="123">
        <v>2.75</v>
      </c>
      <c r="X105" s="92">
        <f>W105*(1+'Hypothèses production'!B3)</f>
        <v>2.75</v>
      </c>
      <c r="Y105" s="57"/>
      <c r="Z105" s="57"/>
      <c r="AM105" s="57"/>
      <c r="AN105" s="57"/>
      <c r="AO105" s="57"/>
      <c r="AP105" s="57"/>
      <c r="AQ105" s="57"/>
      <c r="AR105" s="57"/>
      <c r="AS105" s="57"/>
      <c r="AT105" s="57"/>
      <c r="AU105" s="57"/>
      <c r="AV105" s="57"/>
      <c r="AW105" s="157"/>
      <c r="AX105" s="158"/>
      <c r="AY105" s="158"/>
      <c r="AZ105" s="158"/>
      <c r="BA105" s="157"/>
      <c r="BB105" s="74"/>
      <c r="BC105" s="74"/>
      <c r="BD105" s="74"/>
      <c r="BE105" s="74"/>
      <c r="BF105" s="232"/>
      <c r="BG105" s="57"/>
      <c r="BH105" s="57"/>
      <c r="BI105" s="57"/>
      <c r="BJ105" s="57"/>
      <c r="BK105" s="57"/>
      <c r="BL105" s="57"/>
      <c r="BM105" s="57"/>
      <c r="BN105" s="57"/>
      <c r="BO105" s="57"/>
      <c r="BP105" s="57"/>
      <c r="BQ105" s="57"/>
      <c r="BR105" s="57"/>
    </row>
    <row r="106" spans="1:70" s="3" customFormat="1" x14ac:dyDescent="0.3">
      <c r="A106" s="58" t="s">
        <v>85</v>
      </c>
      <c r="B106" s="47" t="s">
        <v>238</v>
      </c>
      <c r="C106" s="16">
        <f t="shared" ref="C106:V106" si="59">C105*C104</f>
        <v>6948.8000000000011</v>
      </c>
      <c r="D106" s="47">
        <f t="shared" si="59"/>
        <v>8184.6364931506869</v>
      </c>
      <c r="E106" s="47">
        <f t="shared" si="59"/>
        <v>6258.7689863013711</v>
      </c>
      <c r="F106" s="47">
        <f t="shared" si="59"/>
        <v>6333.2756164383572</v>
      </c>
      <c r="G106" s="47">
        <f t="shared" si="59"/>
        <v>11390.287671232878</v>
      </c>
      <c r="H106" s="47">
        <f t="shared" si="59"/>
        <v>16851.019068493155</v>
      </c>
      <c r="I106" s="47">
        <f t="shared" si="59"/>
        <v>21110.76164383562</v>
      </c>
      <c r="J106" s="47">
        <f t="shared" si="59"/>
        <v>26048.386849315073</v>
      </c>
      <c r="K106" s="47">
        <f t="shared" si="59"/>
        <v>22908.255890410961</v>
      </c>
      <c r="L106" s="47">
        <f t="shared" si="59"/>
        <v>19972.00383561644</v>
      </c>
      <c r="M106" s="47">
        <f t="shared" si="59"/>
        <v>17140.535123287675</v>
      </c>
      <c r="N106" s="47">
        <f t="shared" si="59"/>
        <v>17753.038904109591</v>
      </c>
      <c r="O106" s="47">
        <f t="shared" si="59"/>
        <v>21146.000438356165</v>
      </c>
      <c r="P106" s="47">
        <f t="shared" si="59"/>
        <v>22284.367123287677</v>
      </c>
      <c r="Q106" s="47">
        <f t="shared" si="59"/>
        <v>0</v>
      </c>
      <c r="R106" s="47">
        <f t="shared" si="59"/>
        <v>0</v>
      </c>
      <c r="S106" s="47">
        <f t="shared" si="59"/>
        <v>0</v>
      </c>
      <c r="T106" s="47">
        <f t="shared" si="59"/>
        <v>0</v>
      </c>
      <c r="U106" s="47">
        <f t="shared" si="59"/>
        <v>0</v>
      </c>
      <c r="V106" s="47">
        <f t="shared" si="59"/>
        <v>0</v>
      </c>
      <c r="W106" s="47">
        <f>W105*W104</f>
        <v>20596.018264840182</v>
      </c>
      <c r="X106" s="47">
        <f>X105*X104</f>
        <v>20596.018264840182</v>
      </c>
      <c r="Y106" s="74"/>
      <c r="Z106" s="285"/>
      <c r="AM106" s="74"/>
      <c r="AN106" s="74"/>
      <c r="AO106" s="74"/>
      <c r="AP106" s="74"/>
      <c r="AQ106" s="74"/>
      <c r="AR106" s="74"/>
      <c r="AS106" s="74"/>
      <c r="AT106" s="74"/>
      <c r="AU106" s="74"/>
      <c r="AV106" s="509"/>
      <c r="AW106" s="232"/>
      <c r="AX106" s="158"/>
      <c r="AY106" s="158"/>
      <c r="AZ106" s="158"/>
      <c r="BA106" s="157"/>
      <c r="BB106" s="74"/>
      <c r="BC106" s="74"/>
      <c r="BD106" s="74"/>
      <c r="BE106" s="74"/>
      <c r="BF106" s="232"/>
      <c r="BG106" s="74"/>
      <c r="BH106" s="74"/>
      <c r="BI106" s="74"/>
      <c r="BJ106" s="74"/>
      <c r="BK106" s="74"/>
      <c r="BL106" s="74"/>
      <c r="BM106" s="74"/>
      <c r="BN106" s="74"/>
      <c r="BO106" s="74"/>
      <c r="BP106" s="74"/>
      <c r="BQ106" s="74"/>
      <c r="BR106" s="74"/>
    </row>
    <row r="107" spans="1:70" s="4" customFormat="1" x14ac:dyDescent="0.3">
      <c r="A107" s="14"/>
      <c r="B107" s="48" t="s">
        <v>299</v>
      </c>
      <c r="C107" s="20">
        <f t="shared" ref="C107:P107" si="60">C8</f>
        <v>5.0753163699225254</v>
      </c>
      <c r="D107" s="49">
        <f t="shared" si="60"/>
        <v>4.6846583506604969</v>
      </c>
      <c r="E107" s="49">
        <f t="shared" si="60"/>
        <v>5.9037975782586294</v>
      </c>
      <c r="F107" s="49">
        <f t="shared" si="60"/>
        <v>5.2303423958654891</v>
      </c>
      <c r="G107" s="49">
        <f t="shared" si="60"/>
        <v>5.2475364136380929</v>
      </c>
      <c r="H107" s="49">
        <f t="shared" si="60"/>
        <v>5.7602536847218557</v>
      </c>
      <c r="I107" s="49">
        <f t="shared" si="60"/>
        <v>7.2875443064326664</v>
      </c>
      <c r="J107" s="49">
        <f t="shared" si="60"/>
        <v>7.9973607590532616</v>
      </c>
      <c r="K107" s="49">
        <f t="shared" si="60"/>
        <v>6.0680899934529773</v>
      </c>
      <c r="L107" s="49">
        <f t="shared" si="60"/>
        <v>5.8490793949027031</v>
      </c>
      <c r="M107" s="49">
        <f t="shared" si="60"/>
        <v>6.346239735697158</v>
      </c>
      <c r="N107" s="49">
        <f t="shared" si="60"/>
        <v>5.4529174731169148</v>
      </c>
      <c r="O107" s="49">
        <f t="shared" si="60"/>
        <v>5.822130790762829</v>
      </c>
      <c r="P107" s="49">
        <f t="shared" si="60"/>
        <v>5.8443644419174756</v>
      </c>
      <c r="Q107" s="49">
        <f>$O$107+(2/8)*($W$107-$O$107)</f>
        <v>5.8665980930721222</v>
      </c>
      <c r="R107" s="49">
        <f>$O$107+(3/8)*($W$107-$O$107)</f>
        <v>5.8888317442267679</v>
      </c>
      <c r="S107" s="49">
        <f>$O$107+(4/8)*($W$107-$O$107)</f>
        <v>5.9110653953814145</v>
      </c>
      <c r="T107" s="49">
        <f>$O$107+(5/8)*($W$107-$O$107)</f>
        <v>5.9332990465360611</v>
      </c>
      <c r="U107" s="49">
        <f>$O$107+(6/8)*($W$107-$O$107)</f>
        <v>5.9555326976907068</v>
      </c>
      <c r="V107" s="49">
        <f>$O$107+(7/8)*($W$107-$O$107)</f>
        <v>5.9777663488453534</v>
      </c>
      <c r="W107" s="49">
        <f>W8</f>
        <v>6</v>
      </c>
      <c r="X107" s="48">
        <f>X8</f>
        <v>6</v>
      </c>
      <c r="Y107" s="240"/>
      <c r="Z107" s="240"/>
      <c r="AM107" s="57"/>
      <c r="AN107" s="57"/>
      <c r="AO107" s="57"/>
      <c r="AP107" s="57"/>
      <c r="AQ107" s="57"/>
      <c r="AR107" s="57"/>
      <c r="AS107" s="57"/>
      <c r="AT107" s="57"/>
      <c r="AU107" s="57"/>
      <c r="AV107" s="57"/>
      <c r="AW107" s="157"/>
      <c r="AX107" s="158"/>
      <c r="AY107" s="158"/>
      <c r="AZ107" s="158"/>
      <c r="BA107" s="157"/>
      <c r="BB107" s="74"/>
      <c r="BC107" s="74"/>
      <c r="BD107" s="74"/>
      <c r="BE107" s="74"/>
      <c r="BF107" s="232"/>
      <c r="BG107" s="57"/>
      <c r="BH107" s="57"/>
      <c r="BI107" s="57"/>
      <c r="BJ107" s="57"/>
      <c r="BK107" s="57"/>
      <c r="BL107" s="57"/>
      <c r="BM107" s="57"/>
      <c r="BN107" s="57"/>
      <c r="BO107" s="57"/>
      <c r="BP107" s="57"/>
      <c r="BQ107" s="57"/>
      <c r="BR107" s="57"/>
    </row>
    <row r="108" spans="1:70" s="3" customFormat="1" x14ac:dyDescent="0.3">
      <c r="A108" s="16"/>
      <c r="B108" s="47" t="s">
        <v>297</v>
      </c>
      <c r="C108" s="16">
        <f>C107*C66/1000</f>
        <v>38461.14332594975</v>
      </c>
      <c r="D108" s="47">
        <f t="shared" ref="D108:N108" si="61">D107*D66/1000</f>
        <v>35763.726527754436</v>
      </c>
      <c r="E108" s="47">
        <f t="shared" si="61"/>
        <v>45431.280967260813</v>
      </c>
      <c r="F108" s="47">
        <f t="shared" si="61"/>
        <v>40574.878018454139</v>
      </c>
      <c r="G108" s="47">
        <f t="shared" si="61"/>
        <v>41040.803874825462</v>
      </c>
      <c r="H108" s="47">
        <f t="shared" si="61"/>
        <v>45377.53893162599</v>
      </c>
      <c r="I108" s="47">
        <f t="shared" si="61"/>
        <v>57694.679356609406</v>
      </c>
      <c r="J108" s="47">
        <f t="shared" si="61"/>
        <v>63565.31855549317</v>
      </c>
      <c r="K108" s="47">
        <f t="shared" si="61"/>
        <v>48511.096660970092</v>
      </c>
      <c r="L108" s="47">
        <f t="shared" si="61"/>
        <v>47043.771232121173</v>
      </c>
      <c r="M108" s="47">
        <f t="shared" si="61"/>
        <v>51269.062333269321</v>
      </c>
      <c r="N108" s="47">
        <f t="shared" si="61"/>
        <v>44244.465255545649</v>
      </c>
      <c r="O108" s="47">
        <f t="shared" ref="O108:X108" si="62">O107*O66/1000</f>
        <v>47487.57518260082</v>
      </c>
      <c r="P108" s="47">
        <f t="shared" si="62"/>
        <v>47908.154748841174</v>
      </c>
      <c r="Q108" s="47">
        <f t="shared" si="62"/>
        <v>0</v>
      </c>
      <c r="R108" s="47">
        <f t="shared" si="62"/>
        <v>0</v>
      </c>
      <c r="S108" s="47">
        <f t="shared" si="62"/>
        <v>0</v>
      </c>
      <c r="T108" s="47">
        <f t="shared" si="62"/>
        <v>0</v>
      </c>
      <c r="U108" s="47">
        <f t="shared" si="62"/>
        <v>0</v>
      </c>
      <c r="V108" s="47">
        <f t="shared" si="62"/>
        <v>0</v>
      </c>
      <c r="W108" s="47">
        <f t="shared" si="62"/>
        <v>50206.8</v>
      </c>
      <c r="X108" s="47">
        <f t="shared" si="62"/>
        <v>50206.8</v>
      </c>
      <c r="Y108" s="74"/>
      <c r="Z108" s="74"/>
      <c r="AM108" s="74"/>
      <c r="AN108" s="74"/>
      <c r="AO108" s="74"/>
      <c r="AP108" s="74"/>
      <c r="AQ108" s="74"/>
      <c r="AR108" s="74"/>
      <c r="AS108" s="74"/>
      <c r="AT108" s="74"/>
      <c r="AU108" s="74"/>
      <c r="AV108" s="74"/>
      <c r="AW108" s="157"/>
      <c r="AX108" s="158"/>
      <c r="AY108" s="158"/>
      <c r="AZ108" s="158"/>
      <c r="BA108" s="157"/>
      <c r="BB108" s="74"/>
      <c r="BC108" s="74"/>
      <c r="BD108" s="74"/>
      <c r="BE108" s="74"/>
      <c r="BF108" s="232"/>
      <c r="BG108" s="74"/>
      <c r="BH108" s="74"/>
      <c r="BI108" s="74"/>
      <c r="BJ108" s="74"/>
      <c r="BK108" s="74"/>
      <c r="BL108" s="74"/>
      <c r="BM108" s="74"/>
      <c r="BN108" s="74"/>
      <c r="BO108" s="74"/>
      <c r="BP108" s="74"/>
      <c r="BQ108" s="74"/>
      <c r="BR108" s="74"/>
    </row>
    <row r="109" spans="1:70" s="6" customFormat="1" x14ac:dyDescent="0.3">
      <c r="A109" s="205"/>
      <c r="B109" s="181" t="s">
        <v>298</v>
      </c>
      <c r="C109" s="205">
        <f t="shared" ref="C109:O109" si="63">(C106-C108)/(C105)</f>
        <v>-10791.898399297859</v>
      </c>
      <c r="D109" s="181">
        <f t="shared" si="63"/>
        <v>-9012.7745211123365</v>
      </c>
      <c r="E109" s="181">
        <f t="shared" si="63"/>
        <v>-13369.458013979331</v>
      </c>
      <c r="F109" s="181">
        <f t="shared" si="63"/>
        <v>-11490.470604703281</v>
      </c>
      <c r="G109" s="181">
        <f t="shared" si="63"/>
        <v>-9353.4751430891429</v>
      </c>
      <c r="H109" s="181">
        <f t="shared" si="63"/>
        <v>-10224.559090728615</v>
      </c>
      <c r="I109" s="181">
        <f t="shared" si="63"/>
        <v>-11187.742419808497</v>
      </c>
      <c r="J109" s="181">
        <f t="shared" si="63"/>
        <v>-10811.795880742966</v>
      </c>
      <c r="K109" s="181">
        <f t="shared" si="63"/>
        <v>-8339.6875474133976</v>
      </c>
      <c r="L109" s="181">
        <f t="shared" si="63"/>
        <v>-9239.5110568275541</v>
      </c>
      <c r="M109" s="181">
        <f t="shared" si="63"/>
        <v>-13489.536446633065</v>
      </c>
      <c r="N109" s="181">
        <f t="shared" si="63"/>
        <v>-8685.7135578478883</v>
      </c>
      <c r="O109" s="181">
        <f t="shared" si="63"/>
        <v>-10494.651292527753</v>
      </c>
      <c r="P109" s="181">
        <f t="shared" ref="P109:V109" si="64">(P106-P108)/(P105)</f>
        <v>-9455.2721865511066</v>
      </c>
      <c r="Q109" s="181" t="e">
        <f t="shared" si="64"/>
        <v>#DIV/0!</v>
      </c>
      <c r="R109" s="181" t="e">
        <f t="shared" si="64"/>
        <v>#DIV/0!</v>
      </c>
      <c r="S109" s="181" t="e">
        <f t="shared" si="64"/>
        <v>#DIV/0!</v>
      </c>
      <c r="T109" s="181" t="e">
        <f t="shared" si="64"/>
        <v>#DIV/0!</v>
      </c>
      <c r="U109" s="181" t="e">
        <f t="shared" si="64"/>
        <v>#DIV/0!</v>
      </c>
      <c r="V109" s="181" t="e">
        <f t="shared" si="64"/>
        <v>#DIV/0!</v>
      </c>
      <c r="W109" s="181">
        <f>(W106-W108)/(W105)</f>
        <v>-10767.55699460357</v>
      </c>
      <c r="X109" s="181">
        <f>(X106-X108)/(X105)</f>
        <v>-10767.55699460357</v>
      </c>
      <c r="Y109" s="303"/>
      <c r="Z109" s="303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57"/>
      <c r="AX109" s="158"/>
      <c r="AY109" s="158"/>
      <c r="AZ109" s="158"/>
      <c r="BA109" s="157"/>
      <c r="BB109" s="74"/>
      <c r="BC109" s="74"/>
      <c r="BD109" s="74"/>
      <c r="BE109" s="74"/>
      <c r="BF109" s="232"/>
      <c r="BG109" s="121"/>
      <c r="BH109" s="121"/>
      <c r="BI109" s="121"/>
      <c r="BJ109" s="121"/>
      <c r="BK109" s="121"/>
      <c r="BL109" s="121"/>
      <c r="BM109" s="121"/>
      <c r="BN109" s="121"/>
      <c r="BO109" s="121"/>
      <c r="BP109" s="121"/>
      <c r="BQ109" s="121"/>
      <c r="BR109" s="121"/>
    </row>
    <row r="110" spans="1:70" s="6" customFormat="1" x14ac:dyDescent="0.3">
      <c r="A110" s="541" t="s">
        <v>600</v>
      </c>
      <c r="B110" s="334"/>
      <c r="C110" s="542">
        <f t="shared" ref="C110:X110" si="65">(C106+C99+C92)/(C90+C97+C104)</f>
        <v>1.2500273999543094</v>
      </c>
      <c r="D110" s="543">
        <f t="shared" si="65"/>
        <v>1.4355681648971506</v>
      </c>
      <c r="E110" s="543">
        <f t="shared" si="65"/>
        <v>1.3082638473924966</v>
      </c>
      <c r="F110" s="543">
        <f t="shared" si="65"/>
        <v>1.1459517191388011</v>
      </c>
      <c r="G110" s="543">
        <f t="shared" si="65"/>
        <v>1.349382649666329</v>
      </c>
      <c r="H110" s="543">
        <f t="shared" si="65"/>
        <v>1.3126149489748049</v>
      </c>
      <c r="I110" s="543">
        <f t="shared" si="65"/>
        <v>1.6757596100690983</v>
      </c>
      <c r="J110" s="543">
        <f t="shared" si="65"/>
        <v>1.7739325019097785</v>
      </c>
      <c r="K110" s="543">
        <f t="shared" si="65"/>
        <v>1.6140767947403123</v>
      </c>
      <c r="L110" s="543">
        <f t="shared" si="65"/>
        <v>1.4854649947164995</v>
      </c>
      <c r="M110" s="543">
        <f t="shared" si="65"/>
        <v>1.351182925885557</v>
      </c>
      <c r="N110" s="543">
        <f t="shared" si="65"/>
        <v>1.575398836367935</v>
      </c>
      <c r="O110" s="543">
        <f t="shared" si="65"/>
        <v>1.3732694254956086</v>
      </c>
      <c r="P110" s="543">
        <f t="shared" si="65"/>
        <v>1.4532058211448617</v>
      </c>
      <c r="Q110" s="543" t="e">
        <f t="shared" si="65"/>
        <v>#DIV/0!</v>
      </c>
      <c r="R110" s="543" t="e">
        <f t="shared" si="65"/>
        <v>#DIV/0!</v>
      </c>
      <c r="S110" s="543" t="e">
        <f t="shared" si="65"/>
        <v>#DIV/0!</v>
      </c>
      <c r="T110" s="543" t="e">
        <f t="shared" si="65"/>
        <v>#DIV/0!</v>
      </c>
      <c r="U110" s="543" t="e">
        <f t="shared" si="65"/>
        <v>#DIV/0!</v>
      </c>
      <c r="V110" s="543" t="e">
        <f t="shared" si="65"/>
        <v>#DIV/0!</v>
      </c>
      <c r="W110" s="543">
        <f t="shared" si="65"/>
        <v>1.4304980824468916</v>
      </c>
      <c r="X110" s="544">
        <f t="shared" si="65"/>
        <v>1.4304980824468916</v>
      </c>
      <c r="Y110" s="303"/>
      <c r="Z110" s="303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57"/>
      <c r="AX110" s="158"/>
      <c r="AY110" s="158"/>
      <c r="AZ110" s="158"/>
      <c r="BA110" s="157"/>
      <c r="BB110" s="74"/>
      <c r="BC110" s="74"/>
      <c r="BD110" s="74"/>
      <c r="BE110" s="74"/>
      <c r="BF110" s="232"/>
      <c r="BG110" s="121"/>
      <c r="BH110" s="121"/>
      <c r="BI110" s="121"/>
      <c r="BJ110" s="121"/>
      <c r="BK110" s="121"/>
      <c r="BL110" s="121"/>
      <c r="BM110" s="121"/>
      <c r="BN110" s="121"/>
      <c r="BO110" s="121"/>
      <c r="BP110" s="121"/>
      <c r="BQ110" s="121"/>
      <c r="BR110" s="121"/>
    </row>
    <row r="111" spans="1:70" s="6" customFormat="1" x14ac:dyDescent="0.3">
      <c r="A111" s="144"/>
      <c r="B111" s="70" t="s">
        <v>392</v>
      </c>
      <c r="C111" s="540">
        <v>11093</v>
      </c>
      <c r="D111" s="124">
        <v>9605</v>
      </c>
      <c r="E111" s="124">
        <v>6979</v>
      </c>
      <c r="F111" s="124">
        <v>6408</v>
      </c>
      <c r="G111" s="124">
        <v>8118</v>
      </c>
      <c r="H111" s="124">
        <v>9633</v>
      </c>
      <c r="I111" s="124">
        <v>10559</v>
      </c>
      <c r="J111" s="124">
        <v>11289</v>
      </c>
      <c r="K111" s="124">
        <v>10564</v>
      </c>
      <c r="L111" s="124">
        <v>11066</v>
      </c>
      <c r="M111" s="124">
        <v>11633</v>
      </c>
      <c r="N111" s="124">
        <v>10089</v>
      </c>
      <c r="O111" s="124">
        <v>8815</v>
      </c>
      <c r="P111" s="124">
        <v>8726</v>
      </c>
      <c r="Q111" s="124"/>
      <c r="R111" s="124"/>
      <c r="S111" s="124"/>
      <c r="T111" s="124"/>
      <c r="U111" s="124"/>
      <c r="V111" s="124"/>
      <c r="W111" s="53">
        <f>AVERAGE(N111:P111)</f>
        <v>9210</v>
      </c>
      <c r="X111" s="47">
        <f>W111</f>
        <v>9210</v>
      </c>
      <c r="Y111" s="303"/>
      <c r="Z111" s="303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57"/>
      <c r="AX111" s="158"/>
      <c r="AY111" s="158"/>
      <c r="AZ111" s="158"/>
      <c r="BA111" s="157"/>
      <c r="BB111" s="74"/>
      <c r="BC111" s="74"/>
      <c r="BD111" s="74"/>
      <c r="BE111" s="74"/>
      <c r="BF111" s="232"/>
      <c r="BG111" s="121"/>
      <c r="BH111" s="121"/>
      <c r="BI111" s="121"/>
      <c r="BJ111" s="121"/>
      <c r="BK111" s="121"/>
      <c r="BL111" s="121"/>
      <c r="BM111" s="121"/>
      <c r="BN111" s="121"/>
      <c r="BO111" s="121"/>
      <c r="BP111" s="121"/>
      <c r="BQ111" s="121"/>
      <c r="BR111" s="121"/>
    </row>
    <row r="112" spans="1:70" s="3" customFormat="1" x14ac:dyDescent="0.3">
      <c r="A112" s="16" t="s">
        <v>137</v>
      </c>
      <c r="B112" s="47" t="s">
        <v>139</v>
      </c>
      <c r="C112" s="16">
        <f t="shared" ref="C112:V112" si="66">C111*$G$50</f>
        <v>5788.6303787758352</v>
      </c>
      <c r="D112" s="47">
        <f t="shared" si="66"/>
        <v>5012.1513376130797</v>
      </c>
      <c r="E112" s="47">
        <f t="shared" si="66"/>
        <v>3641.8328147008519</v>
      </c>
      <c r="F112" s="47">
        <f t="shared" si="66"/>
        <v>3343.869419200897</v>
      </c>
      <c r="G112" s="47">
        <f t="shared" si="66"/>
        <v>4236.1941237629344</v>
      </c>
      <c r="H112" s="47">
        <f t="shared" si="66"/>
        <v>5026.7625023661421</v>
      </c>
      <c r="I112" s="47">
        <f t="shared" si="66"/>
        <v>5509.9745938424267</v>
      </c>
      <c r="J112" s="47">
        <f t="shared" si="66"/>
        <v>5890.9085320472732</v>
      </c>
      <c r="K112" s="47">
        <f t="shared" si="66"/>
        <v>5512.5837304054739</v>
      </c>
      <c r="L112" s="47">
        <f t="shared" si="66"/>
        <v>5774.541041335382</v>
      </c>
      <c r="M112" s="47">
        <f t="shared" si="66"/>
        <v>6070.4171275848994</v>
      </c>
      <c r="N112" s="47">
        <f t="shared" si="66"/>
        <v>5264.715756916019</v>
      </c>
      <c r="O112" s="47">
        <f t="shared" si="66"/>
        <v>4599.9077606516712</v>
      </c>
      <c r="P112" s="47">
        <f t="shared" si="66"/>
        <v>4553.4651298294357</v>
      </c>
      <c r="Q112" s="47">
        <f t="shared" si="66"/>
        <v>0</v>
      </c>
      <c r="R112" s="47">
        <f t="shared" si="66"/>
        <v>0</v>
      </c>
      <c r="S112" s="47">
        <f t="shared" si="66"/>
        <v>0</v>
      </c>
      <c r="T112" s="47">
        <f t="shared" si="66"/>
        <v>0</v>
      </c>
      <c r="U112" s="47">
        <f t="shared" si="66"/>
        <v>0</v>
      </c>
      <c r="V112" s="47">
        <f t="shared" si="66"/>
        <v>0</v>
      </c>
      <c r="W112" s="47">
        <f>AVERAGE(N112:P112)</f>
        <v>4806.029549132375</v>
      </c>
      <c r="X112" s="47">
        <f>W112</f>
        <v>4806.029549132375</v>
      </c>
      <c r="Y112" s="74"/>
      <c r="Z112" s="74"/>
      <c r="AM112" s="74"/>
      <c r="AN112" s="74"/>
      <c r="AO112" s="74"/>
      <c r="AP112" s="74"/>
      <c r="AQ112" s="74"/>
      <c r="AR112" s="74"/>
      <c r="AS112" s="74"/>
      <c r="AT112" s="74"/>
      <c r="AU112" s="74"/>
      <c r="AV112" s="74"/>
      <c r="AW112" s="74"/>
      <c r="AX112" s="74"/>
      <c r="AY112" s="74"/>
      <c r="AZ112" s="74"/>
      <c r="BA112" s="157"/>
      <c r="BB112" s="74"/>
      <c r="BC112" s="74"/>
      <c r="BD112" s="74"/>
      <c r="BE112" s="74"/>
      <c r="BF112" s="232"/>
      <c r="BG112" s="74"/>
      <c r="BH112" s="74"/>
      <c r="BI112" s="74"/>
      <c r="BJ112" s="74"/>
      <c r="BK112" s="74"/>
      <c r="BL112" s="74"/>
      <c r="BM112" s="74"/>
      <c r="BN112" s="74"/>
      <c r="BO112" s="74"/>
      <c r="BP112" s="74"/>
      <c r="BQ112" s="74"/>
      <c r="BR112" s="74"/>
    </row>
    <row r="113" spans="1:70" s="4" customFormat="1" x14ac:dyDescent="0.3">
      <c r="A113" s="14" t="s">
        <v>223</v>
      </c>
      <c r="B113" s="48" t="s">
        <v>2</v>
      </c>
      <c r="C113" s="411">
        <v>2.37</v>
      </c>
      <c r="D113" s="101">
        <v>1.93</v>
      </c>
      <c r="E113" s="101">
        <v>1.98</v>
      </c>
      <c r="F113" s="101">
        <v>1.76</v>
      </c>
      <c r="G113" s="101">
        <v>1.7</v>
      </c>
      <c r="H113" s="101">
        <v>1.73</v>
      </c>
      <c r="I113" s="101">
        <v>1.74</v>
      </c>
      <c r="J113" s="101">
        <v>2.0499999999999998</v>
      </c>
      <c r="K113" s="101">
        <v>1.74</v>
      </c>
      <c r="L113" s="101">
        <v>1.66</v>
      </c>
      <c r="M113" s="101">
        <v>1.42</v>
      </c>
      <c r="N113" s="101">
        <v>1.47</v>
      </c>
      <c r="O113" s="101">
        <v>1.35</v>
      </c>
      <c r="P113" s="101">
        <v>1.55</v>
      </c>
      <c r="Q113" s="101"/>
      <c r="R113" s="101"/>
      <c r="S113" s="101"/>
      <c r="T113" s="123"/>
      <c r="U113" s="123"/>
      <c r="V113" s="101"/>
      <c r="W113" s="123">
        <v>1.49</v>
      </c>
      <c r="X113" s="92">
        <f>W113*(1+'Hypothèses production'!B4)</f>
        <v>1.49</v>
      </c>
      <c r="Y113" s="57"/>
      <c r="Z113" s="57"/>
      <c r="AM113" s="57"/>
      <c r="AN113" s="57"/>
      <c r="AO113" s="57"/>
      <c r="AP113" s="57"/>
      <c r="AQ113" s="57"/>
      <c r="AR113" s="57"/>
      <c r="AS113" s="57"/>
      <c r="AT113" s="57"/>
      <c r="AU113" s="57"/>
      <c r="AV113" s="57"/>
      <c r="AW113" s="57"/>
      <c r="AX113" s="57"/>
      <c r="AY113" s="57"/>
      <c r="AZ113" s="57"/>
      <c r="BA113" s="57"/>
      <c r="BB113" s="57"/>
      <c r="BC113" s="57"/>
      <c r="BD113" s="57"/>
      <c r="BE113" s="57"/>
      <c r="BF113" s="57"/>
      <c r="BG113" s="57"/>
      <c r="BH113" s="57"/>
      <c r="BI113" s="57"/>
      <c r="BJ113" s="57"/>
      <c r="BK113" s="57"/>
      <c r="BL113" s="57"/>
      <c r="BM113" s="57"/>
      <c r="BN113" s="57"/>
      <c r="BO113" s="57"/>
      <c r="BP113" s="57"/>
      <c r="BQ113" s="57"/>
      <c r="BR113" s="57"/>
    </row>
    <row r="114" spans="1:70" s="3" customFormat="1" x14ac:dyDescent="0.3">
      <c r="A114" s="16" t="s">
        <v>224</v>
      </c>
      <c r="B114" s="47" t="s">
        <v>138</v>
      </c>
      <c r="C114" s="16">
        <f>C113*C112</f>
        <v>13719.053997698729</v>
      </c>
      <c r="D114" s="47">
        <f t="shared" ref="D114:V114" si="67">D113*D112</f>
        <v>9673.4520815932428</v>
      </c>
      <c r="E114" s="47">
        <f t="shared" si="67"/>
        <v>7210.8289731076866</v>
      </c>
      <c r="F114" s="47">
        <f t="shared" si="67"/>
        <v>5885.2101777935786</v>
      </c>
      <c r="G114" s="47">
        <f t="shared" si="67"/>
        <v>7201.5300103969885</v>
      </c>
      <c r="H114" s="47">
        <f t="shared" si="67"/>
        <v>8696.299129093426</v>
      </c>
      <c r="I114" s="47">
        <f t="shared" si="67"/>
        <v>9587.3557932858221</v>
      </c>
      <c r="J114" s="47">
        <f t="shared" si="67"/>
        <v>12076.362490696909</v>
      </c>
      <c r="K114" s="47">
        <f t="shared" si="67"/>
        <v>9591.895690905525</v>
      </c>
      <c r="L114" s="47">
        <f t="shared" si="67"/>
        <v>9585.7381286167329</v>
      </c>
      <c r="M114" s="47">
        <f t="shared" si="67"/>
        <v>8619.9923211705573</v>
      </c>
      <c r="N114" s="47">
        <f t="shared" si="67"/>
        <v>7739.1321626665476</v>
      </c>
      <c r="O114" s="47">
        <f t="shared" si="67"/>
        <v>6209.8754768797562</v>
      </c>
      <c r="P114" s="47">
        <f t="shared" si="67"/>
        <v>7057.8709512356254</v>
      </c>
      <c r="Q114" s="47">
        <f t="shared" si="67"/>
        <v>0</v>
      </c>
      <c r="R114" s="47">
        <f t="shared" si="67"/>
        <v>0</v>
      </c>
      <c r="S114" s="47">
        <f t="shared" si="67"/>
        <v>0</v>
      </c>
      <c r="T114" s="47">
        <f t="shared" si="67"/>
        <v>0</v>
      </c>
      <c r="U114" s="47">
        <f t="shared" si="67"/>
        <v>0</v>
      </c>
      <c r="V114" s="47">
        <f t="shared" si="67"/>
        <v>0</v>
      </c>
      <c r="W114" s="47">
        <f t="shared" ref="W114:X114" si="68">W113*W112</f>
        <v>7160.9840282072391</v>
      </c>
      <c r="X114" s="47">
        <f t="shared" si="68"/>
        <v>7160.9840282072391</v>
      </c>
      <c r="Y114" s="74"/>
      <c r="Z114" s="285"/>
      <c r="AM114" s="74"/>
      <c r="AN114" s="74"/>
      <c r="AO114" s="74"/>
      <c r="AP114" s="74"/>
      <c r="AQ114" s="74"/>
      <c r="AR114" s="74"/>
      <c r="AS114" s="74"/>
      <c r="AT114" s="74"/>
      <c r="AU114" s="74"/>
      <c r="AV114" s="509"/>
      <c r="AW114" s="232"/>
      <c r="AX114" s="74"/>
      <c r="AY114" s="74"/>
      <c r="AZ114" s="74"/>
      <c r="BA114" s="74"/>
      <c r="BB114" s="74"/>
      <c r="BC114" s="74"/>
      <c r="BD114" s="74"/>
      <c r="BE114" s="74"/>
      <c r="BF114" s="74"/>
      <c r="BG114" s="74"/>
      <c r="BH114" s="74"/>
      <c r="BI114" s="74"/>
      <c r="BJ114" s="74"/>
      <c r="BK114" s="74"/>
      <c r="BL114" s="74"/>
      <c r="BM114" s="74"/>
      <c r="BN114" s="74"/>
      <c r="BO114" s="74"/>
      <c r="BP114" s="74"/>
      <c r="BQ114" s="74"/>
      <c r="BR114" s="74"/>
    </row>
    <row r="115" spans="1:70" s="4" customFormat="1" x14ac:dyDescent="0.3">
      <c r="A115" s="14" t="s">
        <v>225</v>
      </c>
      <c r="B115" s="48" t="s">
        <v>296</v>
      </c>
      <c r="C115" s="14">
        <f t="shared" ref="C115:P115" si="69">C9</f>
        <v>1.7</v>
      </c>
      <c r="D115" s="48">
        <f t="shared" si="69"/>
        <v>1.7</v>
      </c>
      <c r="E115" s="48">
        <f t="shared" si="69"/>
        <v>1.7</v>
      </c>
      <c r="F115" s="48">
        <f t="shared" si="69"/>
        <v>1.7</v>
      </c>
      <c r="G115" s="48">
        <f t="shared" si="69"/>
        <v>1.8</v>
      </c>
      <c r="H115" s="48">
        <f t="shared" si="69"/>
        <v>1.3</v>
      </c>
      <c r="I115" s="48">
        <f t="shared" si="69"/>
        <v>1.6</v>
      </c>
      <c r="J115" s="48">
        <f t="shared" si="69"/>
        <v>2</v>
      </c>
      <c r="K115" s="48">
        <f t="shared" si="69"/>
        <v>2.2999999999999998</v>
      </c>
      <c r="L115" s="48">
        <f t="shared" si="69"/>
        <v>2.5</v>
      </c>
      <c r="M115" s="48">
        <f t="shared" si="69"/>
        <v>2.5</v>
      </c>
      <c r="N115" s="48">
        <f t="shared" si="69"/>
        <v>2.1</v>
      </c>
      <c r="O115" s="48">
        <f t="shared" si="69"/>
        <v>2.6</v>
      </c>
      <c r="P115" s="48">
        <f t="shared" si="69"/>
        <v>2.65</v>
      </c>
      <c r="Q115" s="49">
        <f>$O$115+(2/8)*($W$115-$O$115)</f>
        <v>2.7</v>
      </c>
      <c r="R115" s="49">
        <f>$O$115+(3/8)*($W$115-$O$115)</f>
        <v>2.75</v>
      </c>
      <c r="S115" s="49">
        <f>$O$115+(4/8)*($W$115-$O$115)</f>
        <v>2.8</v>
      </c>
      <c r="T115" s="49">
        <f>$O$115+(5/8)*($W$115-$O$115)</f>
        <v>2.85</v>
      </c>
      <c r="U115" s="49">
        <f>$O$115+(6/8)*($W$115-$O$115)</f>
        <v>2.9</v>
      </c>
      <c r="V115" s="49">
        <f>$O$115+(7/8)*($W$115-$O$115)</f>
        <v>2.95</v>
      </c>
      <c r="W115" s="48">
        <f>W9</f>
        <v>3</v>
      </c>
      <c r="X115" s="48">
        <f>X9</f>
        <v>3.3000000000000003</v>
      </c>
      <c r="Y115" s="57"/>
      <c r="Z115" s="57"/>
      <c r="AM115" s="57"/>
      <c r="AN115" s="57"/>
      <c r="AO115" s="57"/>
      <c r="AP115" s="57"/>
      <c r="AQ115" s="57"/>
      <c r="AR115" s="57"/>
      <c r="AS115" s="57"/>
      <c r="AT115" s="57"/>
      <c r="AU115" s="57"/>
      <c r="AV115" s="57"/>
      <c r="AW115" s="57"/>
      <c r="AX115" s="57"/>
      <c r="AY115" s="57"/>
      <c r="AZ115" s="57"/>
      <c r="BA115" s="57"/>
      <c r="BB115" s="57"/>
      <c r="BC115" s="57"/>
      <c r="BD115" s="57"/>
      <c r="BE115" s="57"/>
      <c r="BF115" s="57"/>
      <c r="BG115" s="57"/>
      <c r="BH115" s="57"/>
      <c r="BI115" s="57"/>
      <c r="BJ115" s="57"/>
      <c r="BK115" s="57"/>
      <c r="BL115" s="57"/>
      <c r="BM115" s="57"/>
      <c r="BN115" s="57"/>
      <c r="BO115" s="57"/>
      <c r="BP115" s="57"/>
      <c r="BQ115" s="57"/>
      <c r="BR115" s="57"/>
    </row>
    <row r="116" spans="1:70" s="3" customFormat="1" x14ac:dyDescent="0.3">
      <c r="A116" s="16" t="s">
        <v>226</v>
      </c>
      <c r="B116" s="47" t="s">
        <v>297</v>
      </c>
      <c r="C116" s="16">
        <f>C115*C66/1000</f>
        <v>12882.732599999999</v>
      </c>
      <c r="D116" s="47">
        <f t="shared" ref="D116:O116" si="70">D115*D66/1000</f>
        <v>12978.179099999999</v>
      </c>
      <c r="E116" s="47">
        <f t="shared" si="70"/>
        <v>13081.948799999998</v>
      </c>
      <c r="F116" s="47">
        <f t="shared" si="70"/>
        <v>13187.9115</v>
      </c>
      <c r="G116" s="47">
        <f t="shared" si="70"/>
        <v>14077.738800000001</v>
      </c>
      <c r="H116" s="47">
        <f t="shared" si="70"/>
        <v>10241.0074</v>
      </c>
      <c r="I116" s="47">
        <f t="shared" si="70"/>
        <v>12667.0224</v>
      </c>
      <c r="J116" s="47">
        <f t="shared" si="70"/>
        <v>15896.574000000001</v>
      </c>
      <c r="K116" s="47">
        <f t="shared" si="70"/>
        <v>18387.255699999998</v>
      </c>
      <c r="L116" s="47">
        <f t="shared" si="70"/>
        <v>20107.34</v>
      </c>
      <c r="M116" s="47">
        <f t="shared" si="70"/>
        <v>20196.63</v>
      </c>
      <c r="N116" s="47">
        <f t="shared" si="70"/>
        <v>17039.204699999998</v>
      </c>
      <c r="O116" s="47">
        <f t="shared" si="70"/>
        <v>21206.616600000001</v>
      </c>
      <c r="P116" s="47">
        <f t="shared" ref="P116:V116" si="71">P115*P66/1000</f>
        <v>21722.911250000001</v>
      </c>
      <c r="Q116" s="47">
        <f t="shared" si="71"/>
        <v>0</v>
      </c>
      <c r="R116" s="47">
        <f t="shared" si="71"/>
        <v>0</v>
      </c>
      <c r="S116" s="47">
        <f t="shared" si="71"/>
        <v>0</v>
      </c>
      <c r="T116" s="47">
        <f t="shared" si="71"/>
        <v>0</v>
      </c>
      <c r="U116" s="47">
        <f t="shared" si="71"/>
        <v>0</v>
      </c>
      <c r="V116" s="47">
        <f t="shared" si="71"/>
        <v>0</v>
      </c>
      <c r="W116" s="47">
        <f>W115*W66/1000</f>
        <v>25103.4</v>
      </c>
      <c r="X116" s="47">
        <f>X115*X66/1000</f>
        <v>27613.740000000005</v>
      </c>
      <c r="Y116" s="74"/>
      <c r="Z116" s="74"/>
      <c r="AM116" s="74"/>
      <c r="AN116" s="74"/>
      <c r="AO116" s="74"/>
      <c r="AP116" s="74"/>
      <c r="AQ116" s="74"/>
      <c r="AR116" s="74"/>
      <c r="AS116" s="74"/>
      <c r="AT116" s="74"/>
      <c r="AU116" s="74"/>
      <c r="AV116" s="74"/>
      <c r="AW116" s="74"/>
      <c r="AX116" s="74"/>
      <c r="AY116" s="74"/>
      <c r="AZ116" s="74"/>
      <c r="BA116" s="74"/>
      <c r="BB116" s="74"/>
      <c r="BC116" s="74"/>
      <c r="BD116" s="74"/>
      <c r="BE116" s="74"/>
      <c r="BF116" s="74"/>
      <c r="BG116" s="74"/>
      <c r="BH116" s="74"/>
      <c r="BI116" s="74"/>
      <c r="BJ116" s="74"/>
      <c r="BK116" s="74"/>
      <c r="BL116" s="74"/>
      <c r="BM116" s="74"/>
      <c r="BN116" s="74"/>
      <c r="BO116" s="74"/>
      <c r="BP116" s="74"/>
      <c r="BQ116" s="74"/>
      <c r="BR116" s="74"/>
    </row>
    <row r="117" spans="1:70" s="6" customFormat="1" x14ac:dyDescent="0.3">
      <c r="A117" s="58" t="s">
        <v>227</v>
      </c>
      <c r="B117" s="181" t="s">
        <v>298</v>
      </c>
      <c r="C117" s="205">
        <f t="shared" ref="C117:O117" si="72">(C114-C116)/C113</f>
        <v>352.87822687710121</v>
      </c>
      <c r="D117" s="181">
        <f t="shared" si="72"/>
        <v>-1712.2937919205992</v>
      </c>
      <c r="E117" s="181">
        <f t="shared" si="72"/>
        <v>-2965.212033783996</v>
      </c>
      <c r="F117" s="181">
        <f t="shared" si="72"/>
        <v>-4149.2621148900125</v>
      </c>
      <c r="G117" s="181">
        <f t="shared" si="72"/>
        <v>-4044.8286997664782</v>
      </c>
      <c r="H117" s="181">
        <f t="shared" si="72"/>
        <v>-892.8949542812569</v>
      </c>
      <c r="I117" s="181">
        <f t="shared" si="72"/>
        <v>-1769.9233371920561</v>
      </c>
      <c r="J117" s="181">
        <f t="shared" si="72"/>
        <v>-1863.5178094161424</v>
      </c>
      <c r="K117" s="181">
        <f t="shared" si="72"/>
        <v>-5054.8046029278576</v>
      </c>
      <c r="L117" s="181">
        <f t="shared" si="72"/>
        <v>-6338.3143803513658</v>
      </c>
      <c r="M117" s="181">
        <f t="shared" si="72"/>
        <v>-8152.5617456545378</v>
      </c>
      <c r="N117" s="181">
        <f t="shared" si="72"/>
        <v>-6326.5799573696941</v>
      </c>
      <c r="O117" s="181">
        <f t="shared" si="72"/>
        <v>-11108.697128237218</v>
      </c>
      <c r="P117" s="181">
        <f t="shared" ref="P117:V117" si="73">(P114-P116)/P113</f>
        <v>-9461.3163217834681</v>
      </c>
      <c r="Q117" s="181" t="e">
        <f t="shared" si="73"/>
        <v>#DIV/0!</v>
      </c>
      <c r="R117" s="181" t="e">
        <f t="shared" si="73"/>
        <v>#DIV/0!</v>
      </c>
      <c r="S117" s="181" t="e">
        <f t="shared" si="73"/>
        <v>#DIV/0!</v>
      </c>
      <c r="T117" s="181" t="e">
        <f t="shared" si="73"/>
        <v>#DIV/0!</v>
      </c>
      <c r="U117" s="181" t="e">
        <f t="shared" si="73"/>
        <v>#DIV/0!</v>
      </c>
      <c r="V117" s="181" t="e">
        <f t="shared" si="73"/>
        <v>#DIV/0!</v>
      </c>
      <c r="W117" s="181">
        <f>(W114-W116)/W113</f>
        <v>-12041.889913954874</v>
      </c>
      <c r="X117" s="181">
        <f>(X114-X116)/X113</f>
        <v>-13726.681860263601</v>
      </c>
      <c r="Y117" s="303"/>
      <c r="Z117" s="303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1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1"/>
      <c r="BO117" s="121"/>
      <c r="BP117" s="121"/>
      <c r="BQ117" s="121"/>
      <c r="BR117" s="121"/>
    </row>
    <row r="118" spans="1:70" s="6" customFormat="1" x14ac:dyDescent="0.3">
      <c r="A118" s="233"/>
      <c r="B118" s="70" t="s">
        <v>392</v>
      </c>
      <c r="C118" s="418">
        <v>123</v>
      </c>
      <c r="D118" s="244">
        <v>129</v>
      </c>
      <c r="E118" s="244">
        <v>134</v>
      </c>
      <c r="F118" s="244">
        <v>135</v>
      </c>
      <c r="G118" s="244">
        <v>143</v>
      </c>
      <c r="H118" s="244">
        <v>154</v>
      </c>
      <c r="I118" s="244">
        <v>158</v>
      </c>
      <c r="J118" s="244">
        <v>169</v>
      </c>
      <c r="K118" s="244">
        <v>178</v>
      </c>
      <c r="L118" s="244">
        <v>182</v>
      </c>
      <c r="M118" s="244">
        <v>202</v>
      </c>
      <c r="N118" s="244">
        <v>183</v>
      </c>
      <c r="O118" s="244">
        <v>184</v>
      </c>
      <c r="P118" s="244">
        <v>174</v>
      </c>
      <c r="Q118" s="244"/>
      <c r="R118" s="244"/>
      <c r="S118" s="244"/>
      <c r="T118" s="244"/>
      <c r="U118" s="244"/>
      <c r="V118" s="244"/>
      <c r="W118" s="247">
        <f>AVERAGE(N118:P118)</f>
        <v>180.33333333333334</v>
      </c>
      <c r="X118" s="54">
        <f>W118</f>
        <v>180.33333333333334</v>
      </c>
      <c r="Y118" s="303"/>
      <c r="Z118" s="303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1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1"/>
      <c r="BO118" s="121"/>
      <c r="BP118" s="121"/>
      <c r="BQ118" s="121"/>
      <c r="BR118" s="121"/>
    </row>
    <row r="119" spans="1:70" s="3" customFormat="1" x14ac:dyDescent="0.3">
      <c r="A119" s="16"/>
      <c r="B119" s="47" t="s">
        <v>139</v>
      </c>
      <c r="C119" s="16">
        <f t="shared" ref="C119:V119" si="74">C118*$F$56</f>
        <v>123</v>
      </c>
      <c r="D119" s="47">
        <f t="shared" si="74"/>
        <v>129</v>
      </c>
      <c r="E119" s="47">
        <f t="shared" si="74"/>
        <v>134</v>
      </c>
      <c r="F119" s="47">
        <f t="shared" si="74"/>
        <v>135</v>
      </c>
      <c r="G119" s="47">
        <f t="shared" si="74"/>
        <v>143</v>
      </c>
      <c r="H119" s="47">
        <f t="shared" si="74"/>
        <v>154</v>
      </c>
      <c r="I119" s="47">
        <f t="shared" si="74"/>
        <v>158</v>
      </c>
      <c r="J119" s="47">
        <f t="shared" si="74"/>
        <v>169</v>
      </c>
      <c r="K119" s="47">
        <f t="shared" si="74"/>
        <v>178</v>
      </c>
      <c r="L119" s="47">
        <f t="shared" si="74"/>
        <v>182</v>
      </c>
      <c r="M119" s="47">
        <f t="shared" si="74"/>
        <v>202</v>
      </c>
      <c r="N119" s="47">
        <f t="shared" si="74"/>
        <v>183</v>
      </c>
      <c r="O119" s="47">
        <f t="shared" si="74"/>
        <v>184</v>
      </c>
      <c r="P119" s="47">
        <f t="shared" si="74"/>
        <v>174</v>
      </c>
      <c r="Q119" s="47">
        <f t="shared" si="74"/>
        <v>0</v>
      </c>
      <c r="R119" s="47">
        <f t="shared" si="74"/>
        <v>0</v>
      </c>
      <c r="S119" s="47">
        <f t="shared" si="74"/>
        <v>0</v>
      </c>
      <c r="T119" s="47">
        <f t="shared" si="74"/>
        <v>0</v>
      </c>
      <c r="U119" s="47">
        <f t="shared" si="74"/>
        <v>0</v>
      </c>
      <c r="V119" s="47">
        <f t="shared" si="74"/>
        <v>0</v>
      </c>
      <c r="W119" s="47">
        <f>AVERAGE(N119:P119)</f>
        <v>180.33333333333334</v>
      </c>
      <c r="X119" s="47">
        <f>W119</f>
        <v>180.33333333333334</v>
      </c>
      <c r="Y119" s="74"/>
      <c r="Z119" s="74"/>
      <c r="AM119" s="74"/>
      <c r="AN119" s="74"/>
      <c r="AO119" s="74"/>
      <c r="AP119" s="74"/>
      <c r="AQ119" s="74"/>
      <c r="AR119" s="74"/>
      <c r="AS119" s="74"/>
      <c r="AT119" s="74"/>
      <c r="AU119" s="74"/>
      <c r="AV119" s="74"/>
      <c r="AW119" s="74"/>
      <c r="AX119" s="74"/>
      <c r="AY119" s="74"/>
      <c r="AZ119" s="74"/>
      <c r="BA119" s="74"/>
      <c r="BB119" s="74"/>
      <c r="BC119" s="74"/>
      <c r="BD119" s="74"/>
      <c r="BE119" s="74"/>
      <c r="BF119" s="74"/>
      <c r="BG119" s="74"/>
      <c r="BH119" s="74"/>
      <c r="BI119" s="74"/>
      <c r="BJ119" s="74"/>
      <c r="BK119" s="74"/>
      <c r="BL119" s="74"/>
      <c r="BM119" s="74"/>
      <c r="BN119" s="74"/>
      <c r="BO119" s="74"/>
      <c r="BP119" s="74"/>
      <c r="BQ119" s="74"/>
      <c r="BR119" s="74"/>
    </row>
    <row r="120" spans="1:70" s="4" customFormat="1" x14ac:dyDescent="0.3">
      <c r="A120" s="16" t="s">
        <v>133</v>
      </c>
      <c r="B120" s="48" t="s">
        <v>2</v>
      </c>
      <c r="C120" s="56">
        <v>15.6</v>
      </c>
      <c r="D120" s="57">
        <v>16.399999999999999</v>
      </c>
      <c r="E120" s="57">
        <v>15.5</v>
      </c>
      <c r="F120" s="57">
        <v>17.100000000000001</v>
      </c>
      <c r="G120" s="57">
        <v>15.5</v>
      </c>
      <c r="H120" s="57">
        <v>14.8</v>
      </c>
      <c r="I120" s="57">
        <v>15.4</v>
      </c>
      <c r="J120" s="57">
        <v>14.2</v>
      </c>
      <c r="K120" s="57">
        <v>14.1</v>
      </c>
      <c r="L120" s="57">
        <v>13.7</v>
      </c>
      <c r="M120" s="57">
        <v>13.2</v>
      </c>
      <c r="N120" s="57">
        <v>15.1</v>
      </c>
      <c r="O120" s="57">
        <v>14.2</v>
      </c>
      <c r="P120" s="57">
        <v>12.7</v>
      </c>
      <c r="Q120" s="57"/>
      <c r="R120" s="57"/>
      <c r="S120" s="57"/>
      <c r="T120" s="57"/>
      <c r="U120" s="57"/>
      <c r="V120" s="57"/>
      <c r="W120" s="57">
        <v>13.5</v>
      </c>
      <c r="X120" s="48">
        <f>W120*(1+'Hypothèses production'!B5)</f>
        <v>13.5</v>
      </c>
      <c r="Y120" s="57"/>
      <c r="Z120" s="57"/>
      <c r="AM120" s="57"/>
      <c r="AN120" s="57"/>
      <c r="AO120" s="57"/>
      <c r="AP120" s="57"/>
      <c r="AQ120" s="57"/>
      <c r="AR120" s="57"/>
      <c r="AS120" s="57"/>
      <c r="AT120" s="57"/>
      <c r="AU120" s="57"/>
      <c r="AV120" s="57"/>
      <c r="AW120" s="57"/>
      <c r="AX120" s="57"/>
      <c r="AY120" s="57"/>
      <c r="AZ120" s="57"/>
      <c r="BA120" s="57"/>
      <c r="BB120" s="57"/>
      <c r="BC120" s="57"/>
      <c r="BD120" s="57"/>
      <c r="BE120" s="57"/>
      <c r="BF120" s="57"/>
      <c r="BG120" s="57"/>
      <c r="BH120" s="57"/>
      <c r="BI120" s="57"/>
      <c r="BJ120" s="57"/>
      <c r="BK120" s="57"/>
      <c r="BL120" s="57"/>
      <c r="BM120" s="57"/>
      <c r="BN120" s="57"/>
      <c r="BO120" s="57"/>
      <c r="BP120" s="57"/>
      <c r="BQ120" s="57"/>
      <c r="BR120" s="57"/>
    </row>
    <row r="121" spans="1:70" s="3" customFormat="1" x14ac:dyDescent="0.3">
      <c r="A121" s="14" t="s">
        <v>134</v>
      </c>
      <c r="B121" s="47" t="s">
        <v>138</v>
      </c>
      <c r="C121" s="16">
        <f t="shared" ref="C121:V121" si="75">C120*C119</f>
        <v>1918.8</v>
      </c>
      <c r="D121" s="47">
        <f t="shared" si="75"/>
        <v>2115.6</v>
      </c>
      <c r="E121" s="47">
        <f t="shared" si="75"/>
        <v>2077</v>
      </c>
      <c r="F121" s="47">
        <f t="shared" si="75"/>
        <v>2308.5</v>
      </c>
      <c r="G121" s="47">
        <f t="shared" si="75"/>
        <v>2216.5</v>
      </c>
      <c r="H121" s="47">
        <f t="shared" si="75"/>
        <v>2279.2000000000003</v>
      </c>
      <c r="I121" s="47">
        <f t="shared" si="75"/>
        <v>2433.2000000000003</v>
      </c>
      <c r="J121" s="47">
        <f t="shared" si="75"/>
        <v>2399.7999999999997</v>
      </c>
      <c r="K121" s="47">
        <f t="shared" si="75"/>
        <v>2509.7999999999997</v>
      </c>
      <c r="L121" s="47">
        <f t="shared" si="75"/>
        <v>2493.4</v>
      </c>
      <c r="M121" s="47">
        <f t="shared" si="75"/>
        <v>2666.3999999999996</v>
      </c>
      <c r="N121" s="47">
        <f t="shared" si="75"/>
        <v>2763.2999999999997</v>
      </c>
      <c r="O121" s="47">
        <f t="shared" si="75"/>
        <v>2612.7999999999997</v>
      </c>
      <c r="P121" s="47">
        <f t="shared" si="75"/>
        <v>2209.7999999999997</v>
      </c>
      <c r="Q121" s="47">
        <f t="shared" si="75"/>
        <v>0</v>
      </c>
      <c r="R121" s="47">
        <f t="shared" si="75"/>
        <v>0</v>
      </c>
      <c r="S121" s="47">
        <f t="shared" si="75"/>
        <v>0</v>
      </c>
      <c r="T121" s="47">
        <f t="shared" si="75"/>
        <v>0</v>
      </c>
      <c r="U121" s="47">
        <f t="shared" si="75"/>
        <v>0</v>
      </c>
      <c r="V121" s="47">
        <f t="shared" si="75"/>
        <v>0</v>
      </c>
      <c r="W121" s="47">
        <f t="shared" ref="W121:X121" si="76">W120*W119</f>
        <v>2434.5</v>
      </c>
      <c r="X121" s="47">
        <f t="shared" si="76"/>
        <v>2434.5</v>
      </c>
      <c r="Y121" s="74"/>
      <c r="Z121" s="285"/>
      <c r="AM121" s="74"/>
      <c r="AN121" s="74"/>
      <c r="AO121" s="74"/>
      <c r="AP121" s="74"/>
      <c r="AQ121" s="74"/>
      <c r="AR121" s="74"/>
      <c r="AS121" s="74"/>
      <c r="AT121" s="74"/>
      <c r="AU121" s="74"/>
      <c r="AV121" s="509"/>
      <c r="AW121" s="232"/>
      <c r="AX121" s="74"/>
      <c r="AY121" s="74"/>
      <c r="AZ121" s="74"/>
      <c r="BA121" s="74"/>
      <c r="BB121" s="74"/>
      <c r="BC121" s="74"/>
      <c r="BD121" s="74"/>
      <c r="BE121" s="74"/>
      <c r="BF121" s="74"/>
      <c r="BG121" s="74"/>
      <c r="BH121" s="74"/>
      <c r="BI121" s="74"/>
      <c r="BJ121" s="74"/>
      <c r="BK121" s="74"/>
      <c r="BL121" s="74"/>
      <c r="BM121" s="74"/>
      <c r="BN121" s="74"/>
      <c r="BO121" s="74"/>
      <c r="BP121" s="74"/>
      <c r="BQ121" s="74"/>
      <c r="BR121" s="74"/>
    </row>
    <row r="122" spans="1:70" s="4" customFormat="1" x14ac:dyDescent="0.3">
      <c r="A122" s="14"/>
      <c r="B122" s="48" t="s">
        <v>296</v>
      </c>
      <c r="C122" s="20">
        <f t="shared" ref="C122:P122" si="77">C10</f>
        <v>4.3</v>
      </c>
      <c r="D122" s="49">
        <f t="shared" si="77"/>
        <v>4.0999999999999996</v>
      </c>
      <c r="E122" s="49">
        <f t="shared" si="77"/>
        <v>3.6</v>
      </c>
      <c r="F122" s="49">
        <f t="shared" si="77"/>
        <v>3.7</v>
      </c>
      <c r="G122" s="49">
        <f t="shared" si="77"/>
        <v>3.5</v>
      </c>
      <c r="H122" s="49">
        <f t="shared" si="77"/>
        <v>3.6</v>
      </c>
      <c r="I122" s="49">
        <f t="shared" si="77"/>
        <v>3.5</v>
      </c>
      <c r="J122" s="49">
        <f t="shared" si="77"/>
        <v>3.3</v>
      </c>
      <c r="K122" s="49">
        <f t="shared" si="77"/>
        <v>3.1</v>
      </c>
      <c r="L122" s="49">
        <f t="shared" si="77"/>
        <v>2.9</v>
      </c>
      <c r="M122" s="49">
        <f t="shared" si="77"/>
        <v>3.1</v>
      </c>
      <c r="N122" s="49">
        <f t="shared" si="77"/>
        <v>3.6</v>
      </c>
      <c r="O122" s="49">
        <f t="shared" si="77"/>
        <v>3.2</v>
      </c>
      <c r="P122" s="49">
        <f t="shared" si="77"/>
        <v>3.1750000000000003</v>
      </c>
      <c r="Q122" s="49">
        <f>$O$122+(2/8)*($W$122-$O$122)</f>
        <v>3.1500000000000004</v>
      </c>
      <c r="R122" s="49">
        <f>$O$122+(3/8)*($W$122-$O$122)</f>
        <v>3.125</v>
      </c>
      <c r="S122" s="49">
        <f>$O$122+(4/8)*($W$122-$O$122)</f>
        <v>3.1</v>
      </c>
      <c r="T122" s="49">
        <f>$O$122+(5/8)*($W$122-$O$122)</f>
        <v>3.0750000000000002</v>
      </c>
      <c r="U122" s="49">
        <f>$O$122+(6/8)*($W$122-$O$122)</f>
        <v>3.05</v>
      </c>
      <c r="V122" s="49">
        <f>$O$122+(7/8)*($W$122-$O$122)</f>
        <v>3.0249999999999999</v>
      </c>
      <c r="W122" s="49">
        <f>W10</f>
        <v>3</v>
      </c>
      <c r="X122" s="48">
        <f>X10</f>
        <v>3.1500000000000004</v>
      </c>
      <c r="Y122" s="57"/>
      <c r="Z122" s="57"/>
      <c r="AM122" s="57"/>
      <c r="AN122" s="57"/>
      <c r="AO122" s="57"/>
      <c r="AP122" s="57"/>
      <c r="AQ122" s="57"/>
      <c r="AR122" s="57"/>
      <c r="AS122" s="57"/>
      <c r="AT122" s="57"/>
      <c r="AU122" s="57"/>
      <c r="AV122" s="57"/>
      <c r="AW122" s="57"/>
      <c r="AX122" s="57"/>
      <c r="AY122" s="57"/>
      <c r="AZ122" s="57"/>
      <c r="BA122" s="57"/>
      <c r="BB122" s="57"/>
      <c r="BC122" s="57"/>
      <c r="BD122" s="57"/>
      <c r="BE122" s="57"/>
      <c r="BF122" s="57"/>
      <c r="BG122" s="57"/>
      <c r="BH122" s="57"/>
      <c r="BI122" s="57"/>
      <c r="BJ122" s="57"/>
      <c r="BK122" s="57"/>
      <c r="BL122" s="57"/>
      <c r="BM122" s="57"/>
      <c r="BN122" s="57"/>
      <c r="BO122" s="57"/>
      <c r="BP122" s="57"/>
      <c r="BQ122" s="57"/>
      <c r="BR122" s="57"/>
    </row>
    <row r="123" spans="1:70" s="3" customFormat="1" x14ac:dyDescent="0.3">
      <c r="A123" s="16"/>
      <c r="B123" s="47" t="s">
        <v>297</v>
      </c>
      <c r="C123" s="16">
        <f t="shared" ref="C123:O123" si="78">C122*C66/1000</f>
        <v>32585.735399999998</v>
      </c>
      <c r="D123" s="47">
        <f t="shared" si="78"/>
        <v>31300.314299999998</v>
      </c>
      <c r="E123" s="47">
        <f t="shared" si="78"/>
        <v>27702.950400000002</v>
      </c>
      <c r="F123" s="47">
        <f t="shared" si="78"/>
        <v>28703.101500000001</v>
      </c>
      <c r="G123" s="47">
        <f t="shared" si="78"/>
        <v>27373.381000000001</v>
      </c>
      <c r="H123" s="47">
        <f t="shared" si="78"/>
        <v>28359.712800000001</v>
      </c>
      <c r="I123" s="47">
        <f t="shared" si="78"/>
        <v>27709.111499999999</v>
      </c>
      <c r="J123" s="47">
        <f t="shared" si="78"/>
        <v>26229.347099999999</v>
      </c>
      <c r="K123" s="47">
        <f t="shared" si="78"/>
        <v>24782.822900000003</v>
      </c>
      <c r="L123" s="47">
        <f t="shared" si="78"/>
        <v>23324.5144</v>
      </c>
      <c r="M123" s="47">
        <f t="shared" si="78"/>
        <v>25043.821199999998</v>
      </c>
      <c r="N123" s="47">
        <f t="shared" si="78"/>
        <v>29210.065200000001</v>
      </c>
      <c r="O123" s="47">
        <f t="shared" si="78"/>
        <v>26100.451200000003</v>
      </c>
      <c r="P123" s="47">
        <f t="shared" ref="P123:V123" si="79">P122*P66/1000</f>
        <v>26026.506875000003</v>
      </c>
      <c r="Q123" s="47">
        <f t="shared" si="79"/>
        <v>0</v>
      </c>
      <c r="R123" s="47">
        <f t="shared" si="79"/>
        <v>0</v>
      </c>
      <c r="S123" s="47">
        <f t="shared" si="79"/>
        <v>0</v>
      </c>
      <c r="T123" s="47">
        <f t="shared" si="79"/>
        <v>0</v>
      </c>
      <c r="U123" s="47">
        <f t="shared" si="79"/>
        <v>0</v>
      </c>
      <c r="V123" s="47">
        <f t="shared" si="79"/>
        <v>0</v>
      </c>
      <c r="W123" s="47">
        <f>W122*W66/1000</f>
        <v>25103.4</v>
      </c>
      <c r="X123" s="47">
        <f>X122*X66/1000</f>
        <v>26358.570000000003</v>
      </c>
      <c r="Y123" s="74"/>
      <c r="Z123" s="74"/>
      <c r="AM123" s="74"/>
      <c r="AN123" s="74"/>
      <c r="AO123" s="74"/>
      <c r="AP123" s="74"/>
      <c r="AQ123" s="74"/>
      <c r="AR123" s="74"/>
      <c r="AS123" s="74"/>
      <c r="AT123" s="74"/>
      <c r="AU123" s="74"/>
      <c r="AV123" s="74"/>
      <c r="AW123" s="74"/>
      <c r="AX123" s="74"/>
      <c r="AY123" s="74"/>
      <c r="AZ123" s="74"/>
      <c r="BA123" s="74"/>
      <c r="BB123" s="74"/>
      <c r="BC123" s="74"/>
      <c r="BD123" s="74"/>
      <c r="BE123" s="74"/>
      <c r="BF123" s="74"/>
      <c r="BG123" s="74"/>
      <c r="BH123" s="74"/>
      <c r="BI123" s="74"/>
      <c r="BJ123" s="74"/>
      <c r="BK123" s="74"/>
      <c r="BL123" s="74"/>
      <c r="BM123" s="74"/>
      <c r="BN123" s="74"/>
      <c r="BO123" s="74"/>
      <c r="BP123" s="74"/>
      <c r="BQ123" s="74"/>
      <c r="BR123" s="74"/>
    </row>
    <row r="124" spans="1:70" s="6" customFormat="1" x14ac:dyDescent="0.3">
      <c r="A124" s="205"/>
      <c r="B124" s="181" t="s">
        <v>298</v>
      </c>
      <c r="C124" s="205">
        <f t="shared" ref="C124:O124" si="80">(C121-C123)/C120</f>
        <v>-1965.8291923076922</v>
      </c>
      <c r="D124" s="181">
        <f t="shared" si="80"/>
        <v>-1779.5557500000002</v>
      </c>
      <c r="E124" s="181">
        <f t="shared" si="80"/>
        <v>-1653.2871225806452</v>
      </c>
      <c r="F124" s="181">
        <f t="shared" si="80"/>
        <v>-1543.543947368421</v>
      </c>
      <c r="G124" s="181">
        <f t="shared" si="80"/>
        <v>-1623.0245806451614</v>
      </c>
      <c r="H124" s="181">
        <f t="shared" si="80"/>
        <v>-1762.1968108108108</v>
      </c>
      <c r="I124" s="181">
        <f t="shared" si="80"/>
        <v>-1641.2929545454544</v>
      </c>
      <c r="J124" s="181">
        <f t="shared" si="80"/>
        <v>-1678.13711971831</v>
      </c>
      <c r="K124" s="181">
        <f t="shared" si="80"/>
        <v>-1579.6470141843974</v>
      </c>
      <c r="L124" s="181">
        <f t="shared" si="80"/>
        <v>-1520.5192992700729</v>
      </c>
      <c r="M124" s="181">
        <f t="shared" si="80"/>
        <v>-1695.2591818181818</v>
      </c>
      <c r="N124" s="181">
        <f t="shared" si="80"/>
        <v>-1751.44140397351</v>
      </c>
      <c r="O124" s="181">
        <f t="shared" si="80"/>
        <v>-1654.0599436619723</v>
      </c>
      <c r="P124" s="181">
        <f t="shared" ref="P124:V124" si="81">(P121-P123)/P120</f>
        <v>-1875.3312500000004</v>
      </c>
      <c r="Q124" s="181" t="e">
        <f t="shared" si="81"/>
        <v>#DIV/0!</v>
      </c>
      <c r="R124" s="181" t="e">
        <f t="shared" si="81"/>
        <v>#DIV/0!</v>
      </c>
      <c r="S124" s="181" t="e">
        <f t="shared" si="81"/>
        <v>#DIV/0!</v>
      </c>
      <c r="T124" s="181" t="e">
        <f t="shared" si="81"/>
        <v>#DIV/0!</v>
      </c>
      <c r="U124" s="181" t="e">
        <f t="shared" si="81"/>
        <v>#DIV/0!</v>
      </c>
      <c r="V124" s="181" t="e">
        <f t="shared" si="81"/>
        <v>#DIV/0!</v>
      </c>
      <c r="W124" s="181">
        <f>(W121-W123)/W120</f>
        <v>-1679.1777777777779</v>
      </c>
      <c r="X124" s="181">
        <f>(X121-X123)/X120</f>
        <v>-1772.1533333333336</v>
      </c>
      <c r="Y124" s="303"/>
      <c r="Z124" s="303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1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1"/>
      <c r="BO124" s="121"/>
      <c r="BP124" s="121"/>
      <c r="BQ124" s="121"/>
      <c r="BR124" s="121"/>
    </row>
    <row r="125" spans="1:70" s="6" customFormat="1" x14ac:dyDescent="0.3">
      <c r="A125" s="144"/>
      <c r="B125" s="70" t="s">
        <v>392</v>
      </c>
      <c r="C125" s="418">
        <v>2282</v>
      </c>
      <c r="D125" s="244">
        <v>2451</v>
      </c>
      <c r="E125" s="244">
        <v>2515</v>
      </c>
      <c r="F125" s="244">
        <v>2693</v>
      </c>
      <c r="G125" s="244">
        <v>2967</v>
      </c>
      <c r="H125" s="244">
        <v>2950</v>
      </c>
      <c r="I125" s="244">
        <v>3036</v>
      </c>
      <c r="J125" s="244">
        <v>3086</v>
      </c>
      <c r="K125" s="244">
        <v>3135</v>
      </c>
      <c r="L125" s="244">
        <v>3270</v>
      </c>
      <c r="M125" s="244">
        <v>3169</v>
      </c>
      <c r="N125" s="244">
        <v>3173</v>
      </c>
      <c r="O125" s="244">
        <v>3173</v>
      </c>
      <c r="P125" s="244">
        <v>3334</v>
      </c>
      <c r="Q125" s="244"/>
      <c r="R125" s="244"/>
      <c r="S125" s="244"/>
      <c r="T125" s="244"/>
      <c r="U125" s="244"/>
      <c r="V125" s="244"/>
      <c r="W125" s="247">
        <f>AVERAGE(N125:P125)</f>
        <v>3226.6666666666665</v>
      </c>
      <c r="X125" s="54">
        <f>W125</f>
        <v>3226.6666666666665</v>
      </c>
      <c r="Y125" s="303"/>
      <c r="Z125" s="303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1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1"/>
      <c r="BO125" s="121"/>
      <c r="BP125" s="121"/>
      <c r="BQ125" s="121"/>
      <c r="BR125" s="121"/>
    </row>
    <row r="126" spans="1:70" s="3" customFormat="1" x14ac:dyDescent="0.3">
      <c r="A126" s="16"/>
      <c r="B126" s="47" t="s">
        <v>139</v>
      </c>
      <c r="C126" s="16">
        <f t="shared" ref="C126:V126" si="82">C125*$F$56</f>
        <v>2282</v>
      </c>
      <c r="D126" s="47">
        <f t="shared" si="82"/>
        <v>2451</v>
      </c>
      <c r="E126" s="47">
        <f t="shared" si="82"/>
        <v>2515</v>
      </c>
      <c r="F126" s="47">
        <f t="shared" si="82"/>
        <v>2693</v>
      </c>
      <c r="G126" s="47">
        <f t="shared" si="82"/>
        <v>2967</v>
      </c>
      <c r="H126" s="47">
        <f t="shared" si="82"/>
        <v>2950</v>
      </c>
      <c r="I126" s="47">
        <f t="shared" si="82"/>
        <v>3036</v>
      </c>
      <c r="J126" s="47">
        <f t="shared" si="82"/>
        <v>3086</v>
      </c>
      <c r="K126" s="47">
        <f t="shared" si="82"/>
        <v>3135</v>
      </c>
      <c r="L126" s="47">
        <f t="shared" si="82"/>
        <v>3270</v>
      </c>
      <c r="M126" s="47">
        <f t="shared" si="82"/>
        <v>3169</v>
      </c>
      <c r="N126" s="47">
        <f t="shared" si="82"/>
        <v>3173</v>
      </c>
      <c r="O126" s="47">
        <f t="shared" si="82"/>
        <v>3173</v>
      </c>
      <c r="P126" s="47">
        <f t="shared" si="82"/>
        <v>3334</v>
      </c>
      <c r="Q126" s="47">
        <f t="shared" si="82"/>
        <v>0</v>
      </c>
      <c r="R126" s="47">
        <f t="shared" si="82"/>
        <v>0</v>
      </c>
      <c r="S126" s="47">
        <f t="shared" si="82"/>
        <v>0</v>
      </c>
      <c r="T126" s="47">
        <f t="shared" si="82"/>
        <v>0</v>
      </c>
      <c r="U126" s="47">
        <f t="shared" si="82"/>
        <v>0</v>
      </c>
      <c r="V126" s="47">
        <f t="shared" si="82"/>
        <v>0</v>
      </c>
      <c r="W126" s="47">
        <f>AVERAGE(N126:P126)</f>
        <v>3226.6666666666665</v>
      </c>
      <c r="X126" s="47">
        <f>W126</f>
        <v>3226.6666666666665</v>
      </c>
      <c r="Y126" s="74"/>
      <c r="Z126" s="74"/>
      <c r="AM126" s="74"/>
      <c r="AN126" s="74"/>
      <c r="AO126" s="74"/>
      <c r="AP126" s="74"/>
      <c r="AQ126" s="74"/>
      <c r="AR126" s="74"/>
      <c r="AS126" s="74"/>
      <c r="AT126" s="74"/>
      <c r="AU126" s="74"/>
      <c r="AV126" s="74"/>
      <c r="AW126" s="74"/>
      <c r="AX126" s="74"/>
      <c r="AY126" s="74"/>
      <c r="AZ126" s="74"/>
      <c r="BA126" s="74"/>
      <c r="BB126" s="74"/>
      <c r="BC126" s="74"/>
      <c r="BD126" s="74"/>
      <c r="BE126" s="74"/>
      <c r="BF126" s="74"/>
      <c r="BG126" s="74"/>
      <c r="BH126" s="74"/>
      <c r="BI126" s="74"/>
      <c r="BJ126" s="74"/>
      <c r="BK126" s="74"/>
      <c r="BL126" s="74"/>
      <c r="BM126" s="74"/>
      <c r="BN126" s="74"/>
      <c r="BO126" s="74"/>
      <c r="BP126" s="74"/>
      <c r="BQ126" s="74"/>
      <c r="BR126" s="74"/>
    </row>
    <row r="127" spans="1:70" s="4" customFormat="1" x14ac:dyDescent="0.3">
      <c r="A127" s="16" t="s">
        <v>5</v>
      </c>
      <c r="B127" s="48" t="s">
        <v>2</v>
      </c>
      <c r="C127" s="67">
        <v>26.3</v>
      </c>
      <c r="D127" s="68">
        <v>29.8</v>
      </c>
      <c r="E127" s="68">
        <v>28.4</v>
      </c>
      <c r="F127" s="68">
        <v>28.2</v>
      </c>
      <c r="G127" s="68">
        <v>30.2</v>
      </c>
      <c r="H127" s="68">
        <v>28.8</v>
      </c>
      <c r="I127" s="68">
        <v>32.4</v>
      </c>
      <c r="J127" s="68">
        <v>32.6</v>
      </c>
      <c r="K127" s="68">
        <v>34.4</v>
      </c>
      <c r="L127" s="68">
        <v>34.9</v>
      </c>
      <c r="M127" s="68">
        <v>39.299999999999997</v>
      </c>
      <c r="N127" s="68">
        <v>36</v>
      </c>
      <c r="O127" s="68">
        <v>30.1</v>
      </c>
      <c r="P127" s="68">
        <v>33.1</v>
      </c>
      <c r="Q127" s="68"/>
      <c r="R127" s="68"/>
      <c r="S127" s="68"/>
      <c r="T127" s="57"/>
      <c r="U127" s="57"/>
      <c r="V127" s="68"/>
      <c r="W127" s="57">
        <v>34.700000000000003</v>
      </c>
      <c r="X127" s="48">
        <f>W127*(1+'Hypothèses production'!B6)</f>
        <v>34.700000000000003</v>
      </c>
      <c r="Y127" s="57"/>
      <c r="Z127" s="57"/>
      <c r="AM127" s="57"/>
      <c r="AN127" s="57"/>
      <c r="AO127" s="57"/>
      <c r="AP127" s="57"/>
      <c r="AQ127" s="57"/>
      <c r="AR127" s="57"/>
      <c r="AS127" s="57"/>
      <c r="AT127" s="57"/>
      <c r="AU127" s="57"/>
      <c r="AV127" s="57"/>
      <c r="AW127" s="57"/>
      <c r="AX127" s="57"/>
      <c r="AY127" s="57"/>
      <c r="AZ127" s="57"/>
      <c r="BA127" s="57"/>
      <c r="BB127" s="57"/>
      <c r="BC127" s="57"/>
      <c r="BD127" s="57"/>
      <c r="BE127" s="57"/>
      <c r="BF127" s="57"/>
      <c r="BG127" s="57"/>
      <c r="BH127" s="57"/>
      <c r="BI127" s="57"/>
      <c r="BJ127" s="57"/>
      <c r="BK127" s="57"/>
      <c r="BL127" s="57"/>
      <c r="BM127" s="57"/>
      <c r="BN127" s="57"/>
      <c r="BO127" s="57"/>
      <c r="BP127" s="57"/>
      <c r="BQ127" s="57"/>
      <c r="BR127" s="57"/>
    </row>
    <row r="128" spans="1:70" s="3" customFormat="1" x14ac:dyDescent="0.3">
      <c r="A128" s="14" t="s">
        <v>6</v>
      </c>
      <c r="B128" s="47" t="s">
        <v>138</v>
      </c>
      <c r="C128" s="16">
        <f>C127*C126</f>
        <v>60016.6</v>
      </c>
      <c r="D128" s="47">
        <f t="shared" ref="D128" si="83">D127*D126</f>
        <v>73039.8</v>
      </c>
      <c r="E128" s="47">
        <f t="shared" ref="E128" si="84">E127*E126</f>
        <v>71426</v>
      </c>
      <c r="F128" s="47">
        <f t="shared" ref="F128" si="85">F127*F126</f>
        <v>75942.599999999991</v>
      </c>
      <c r="G128" s="47">
        <f t="shared" ref="G128" si="86">G127*G126</f>
        <v>89603.4</v>
      </c>
      <c r="H128" s="47">
        <f t="shared" ref="H128" si="87">H127*H126</f>
        <v>84960</v>
      </c>
      <c r="I128" s="47">
        <f t="shared" ref="I128" si="88">I127*I126</f>
        <v>98366.399999999994</v>
      </c>
      <c r="J128" s="47">
        <f t="shared" ref="J128" si="89">J127*J126</f>
        <v>100603.6</v>
      </c>
      <c r="K128" s="47">
        <f t="shared" ref="K128" si="90">K127*K126</f>
        <v>107844</v>
      </c>
      <c r="L128" s="47">
        <f t="shared" ref="L128" si="91">L127*L126</f>
        <v>114123</v>
      </c>
      <c r="M128" s="47">
        <f t="shared" ref="M128" si="92">M127*M126</f>
        <v>124541.7</v>
      </c>
      <c r="N128" s="47">
        <f t="shared" ref="N128" si="93">N127*N126</f>
        <v>114228</v>
      </c>
      <c r="O128" s="47">
        <f t="shared" ref="O128:X128" si="94">O127*O126</f>
        <v>95507.3</v>
      </c>
      <c r="P128" s="47">
        <f t="shared" si="94"/>
        <v>110355.40000000001</v>
      </c>
      <c r="Q128" s="47">
        <f t="shared" si="94"/>
        <v>0</v>
      </c>
      <c r="R128" s="47">
        <f t="shared" si="94"/>
        <v>0</v>
      </c>
      <c r="S128" s="47">
        <f t="shared" si="94"/>
        <v>0</v>
      </c>
      <c r="T128" s="47">
        <f t="shared" si="94"/>
        <v>0</v>
      </c>
      <c r="U128" s="47">
        <f t="shared" si="94"/>
        <v>0</v>
      </c>
      <c r="V128" s="47">
        <f t="shared" si="94"/>
        <v>0</v>
      </c>
      <c r="W128" s="47">
        <f t="shared" si="94"/>
        <v>111965.33333333334</v>
      </c>
      <c r="X128" s="47">
        <f t="shared" si="94"/>
        <v>111965.33333333334</v>
      </c>
      <c r="Y128" s="74"/>
      <c r="Z128" s="285"/>
      <c r="AM128" s="74"/>
      <c r="AN128" s="74"/>
      <c r="AO128" s="74"/>
      <c r="AP128" s="74"/>
      <c r="AQ128" s="74"/>
      <c r="AR128" s="74"/>
      <c r="AS128" s="74"/>
      <c r="AT128" s="74"/>
      <c r="AU128" s="74"/>
      <c r="AV128" s="509"/>
      <c r="AW128" s="232"/>
      <c r="AX128" s="74"/>
      <c r="AY128" s="74"/>
      <c r="AZ128" s="74"/>
      <c r="BA128" s="74"/>
      <c r="BB128" s="74"/>
      <c r="BC128" s="74"/>
      <c r="BD128" s="74"/>
      <c r="BE128" s="74"/>
      <c r="BF128" s="74"/>
      <c r="BG128" s="74"/>
      <c r="BH128" s="74"/>
      <c r="BI128" s="74"/>
      <c r="BJ128" s="74"/>
      <c r="BK128" s="74"/>
      <c r="BL128" s="74"/>
      <c r="BM128" s="74"/>
      <c r="BN128" s="74"/>
      <c r="BO128" s="74"/>
      <c r="BP128" s="74"/>
      <c r="BQ128" s="74"/>
      <c r="BR128" s="74"/>
    </row>
    <row r="129" spans="1:70" s="4" customFormat="1" x14ac:dyDescent="0.3">
      <c r="A129" s="14" t="s">
        <v>427</v>
      </c>
      <c r="B129" s="48" t="s">
        <v>296</v>
      </c>
      <c r="C129" s="20">
        <f t="shared" ref="C129:P129" si="95">C11</f>
        <v>49.3</v>
      </c>
      <c r="D129" s="49">
        <f t="shared" si="95"/>
        <v>47.3</v>
      </c>
      <c r="E129" s="49">
        <f t="shared" si="95"/>
        <v>47.6</v>
      </c>
      <c r="F129" s="49">
        <f t="shared" si="95"/>
        <v>47.6</v>
      </c>
      <c r="G129" s="49">
        <f t="shared" si="95"/>
        <v>47.6</v>
      </c>
      <c r="H129" s="49">
        <f t="shared" si="95"/>
        <v>47.6</v>
      </c>
      <c r="I129" s="49">
        <f t="shared" si="95"/>
        <v>47.6</v>
      </c>
      <c r="J129" s="49">
        <f t="shared" si="95"/>
        <v>47.6</v>
      </c>
      <c r="K129" s="49">
        <f t="shared" si="95"/>
        <v>47.6</v>
      </c>
      <c r="L129" s="49">
        <f t="shared" si="95"/>
        <v>47.6</v>
      </c>
      <c r="M129" s="49">
        <f t="shared" si="95"/>
        <v>47.6</v>
      </c>
      <c r="N129" s="49">
        <f t="shared" si="95"/>
        <v>47.6</v>
      </c>
      <c r="O129" s="49">
        <f t="shared" si="95"/>
        <v>47.5</v>
      </c>
      <c r="P129" s="49">
        <f t="shared" si="95"/>
        <v>47.5</v>
      </c>
      <c r="Q129" s="49">
        <f>$O$129+(2/8)*($W$129-$O$129)</f>
        <v>47.5</v>
      </c>
      <c r="R129" s="49">
        <f>$O$129+(3/8)*($W$129-$O$129)</f>
        <v>47.5</v>
      </c>
      <c r="S129" s="49">
        <f>$O$129+(4/8)*($W$129-$O$129)</f>
        <v>47.5</v>
      </c>
      <c r="T129" s="49">
        <f>$O$129+(5/8)*($W$129-$O$129)</f>
        <v>47.5</v>
      </c>
      <c r="U129" s="49">
        <f>$O$129+(6/8)*($W$129-$O$129)</f>
        <v>47.5</v>
      </c>
      <c r="V129" s="49">
        <f>$O$129+(7/8)*($W$129-$O$129)</f>
        <v>47.5</v>
      </c>
      <c r="W129" s="49">
        <f>W11</f>
        <v>47.5</v>
      </c>
      <c r="X129" s="48">
        <f>X11</f>
        <v>47.5</v>
      </c>
      <c r="Y129" s="57"/>
      <c r="Z129" s="57"/>
      <c r="AM129" s="57"/>
      <c r="AN129" s="57"/>
      <c r="AO129" s="57"/>
      <c r="AP129" s="57"/>
      <c r="AQ129" s="57"/>
      <c r="AR129" s="57"/>
      <c r="AS129" s="57"/>
      <c r="AT129" s="57"/>
      <c r="AU129" s="57"/>
      <c r="AV129" s="57"/>
      <c r="AW129" s="57"/>
      <c r="AX129" s="57"/>
      <c r="AY129" s="57"/>
      <c r="AZ129" s="57"/>
      <c r="BA129" s="57"/>
      <c r="BB129" s="57"/>
      <c r="BC129" s="57"/>
      <c r="BD129" s="57"/>
      <c r="BE129" s="57"/>
      <c r="BF129" s="57"/>
      <c r="BG129" s="57"/>
      <c r="BH129" s="57"/>
      <c r="BI129" s="57"/>
      <c r="BJ129" s="57"/>
      <c r="BK129" s="57"/>
      <c r="BL129" s="57"/>
      <c r="BM129" s="57"/>
      <c r="BN129" s="57"/>
      <c r="BO129" s="57"/>
      <c r="BP129" s="57"/>
      <c r="BQ129" s="57"/>
      <c r="BR129" s="57"/>
    </row>
    <row r="130" spans="1:70" s="3" customFormat="1" x14ac:dyDescent="0.3">
      <c r="A130" s="16" t="s">
        <v>428</v>
      </c>
      <c r="B130" s="47" t="s">
        <v>297</v>
      </c>
      <c r="C130" s="16">
        <f t="shared" ref="C130:O130" si="96">C129*C66/1000</f>
        <v>373599.24539999996</v>
      </c>
      <c r="D130" s="47">
        <f t="shared" si="96"/>
        <v>361098.74789999996</v>
      </c>
      <c r="E130" s="47">
        <f t="shared" si="96"/>
        <v>366294.56640000001</v>
      </c>
      <c r="F130" s="47">
        <f t="shared" si="96"/>
        <v>369261.522</v>
      </c>
      <c r="G130" s="47">
        <f t="shared" si="96"/>
        <v>372277.9816</v>
      </c>
      <c r="H130" s="47">
        <f t="shared" si="96"/>
        <v>374978.42480000004</v>
      </c>
      <c r="I130" s="47">
        <f t="shared" si="96"/>
        <v>376843.91640000005</v>
      </c>
      <c r="J130" s="47">
        <f t="shared" si="96"/>
        <v>378338.46119999996</v>
      </c>
      <c r="K130" s="47">
        <f t="shared" si="96"/>
        <v>380536.24840000004</v>
      </c>
      <c r="L130" s="47">
        <f t="shared" si="96"/>
        <v>382843.7536</v>
      </c>
      <c r="M130" s="47">
        <f t="shared" si="96"/>
        <v>384543.83519999997</v>
      </c>
      <c r="N130" s="47">
        <f t="shared" si="96"/>
        <v>386221.97320000001</v>
      </c>
      <c r="O130" s="47">
        <f t="shared" si="96"/>
        <v>387428.57250000001</v>
      </c>
      <c r="P130" s="47">
        <f t="shared" ref="P130:V130" si="97">P129*P66/1000</f>
        <v>389372.9375</v>
      </c>
      <c r="Q130" s="47">
        <f t="shared" si="97"/>
        <v>0</v>
      </c>
      <c r="R130" s="47">
        <f t="shared" si="97"/>
        <v>0</v>
      </c>
      <c r="S130" s="47">
        <f t="shared" si="97"/>
        <v>0</v>
      </c>
      <c r="T130" s="47">
        <f t="shared" si="97"/>
        <v>0</v>
      </c>
      <c r="U130" s="47">
        <f t="shared" si="97"/>
        <v>0</v>
      </c>
      <c r="V130" s="47">
        <f t="shared" si="97"/>
        <v>0</v>
      </c>
      <c r="W130" s="47">
        <f>W129*W66/1000</f>
        <v>397470.5</v>
      </c>
      <c r="X130" s="47">
        <f>X129*X66/1000</f>
        <v>397470.5</v>
      </c>
      <c r="Y130" s="74"/>
      <c r="Z130" s="74"/>
      <c r="AM130" s="74"/>
      <c r="AN130" s="74"/>
      <c r="AO130" s="74"/>
      <c r="AP130" s="74"/>
      <c r="AQ130" s="74"/>
      <c r="AR130" s="74"/>
      <c r="AS130" s="74"/>
      <c r="AT130" s="74"/>
      <c r="AU130" s="74"/>
      <c r="AV130" s="74"/>
      <c r="AW130" s="74"/>
      <c r="AX130" s="74"/>
      <c r="AY130" s="74"/>
      <c r="AZ130" s="74"/>
      <c r="BA130" s="74"/>
      <c r="BB130" s="74"/>
      <c r="BC130" s="74"/>
      <c r="BD130" s="74"/>
      <c r="BE130" s="74"/>
      <c r="BF130" s="74"/>
      <c r="BG130" s="74"/>
      <c r="BH130" s="74"/>
      <c r="BI130" s="74"/>
      <c r="BJ130" s="74"/>
      <c r="BK130" s="74"/>
      <c r="BL130" s="74"/>
      <c r="BM130" s="74"/>
      <c r="BN130" s="74"/>
      <c r="BO130" s="74"/>
      <c r="BP130" s="74"/>
      <c r="BQ130" s="74"/>
      <c r="BR130" s="74"/>
    </row>
    <row r="131" spans="1:70" s="6" customFormat="1" x14ac:dyDescent="0.3">
      <c r="A131" s="58" t="s">
        <v>429</v>
      </c>
      <c r="B131" s="181" t="s">
        <v>298</v>
      </c>
      <c r="C131" s="205">
        <f t="shared" ref="C131:O131" si="98">(C128-C130)/C127</f>
        <v>-11923.29450190114</v>
      </c>
      <c r="D131" s="181">
        <f t="shared" si="98"/>
        <v>-9666.4076476510054</v>
      </c>
      <c r="E131" s="181">
        <f t="shared" si="98"/>
        <v>-10382.696000000002</v>
      </c>
      <c r="F131" s="181">
        <f t="shared" si="98"/>
        <v>-10401.380212765958</v>
      </c>
      <c r="G131" s="181">
        <f t="shared" si="98"/>
        <v>-9360.0854834437105</v>
      </c>
      <c r="H131" s="181">
        <f t="shared" si="98"/>
        <v>-10070.084194444446</v>
      </c>
      <c r="I131" s="181">
        <f t="shared" si="98"/>
        <v>-8594.9850740740767</v>
      </c>
      <c r="J131" s="181">
        <f t="shared" si="98"/>
        <v>-8519.4742699386479</v>
      </c>
      <c r="K131" s="181">
        <f t="shared" si="98"/>
        <v>-7927.1002441860483</v>
      </c>
      <c r="L131" s="181">
        <f t="shared" si="98"/>
        <v>-7699.7350601719199</v>
      </c>
      <c r="M131" s="181">
        <f t="shared" si="98"/>
        <v>-6615.8304122137397</v>
      </c>
      <c r="N131" s="181">
        <f t="shared" si="98"/>
        <v>-7555.3881444444451</v>
      </c>
      <c r="O131" s="181">
        <f t="shared" si="98"/>
        <v>-9698.381146179403</v>
      </c>
      <c r="P131" s="181">
        <f t="shared" ref="P131:V131" si="99">(P128-P130)/P127</f>
        <v>-8429.5328549848928</v>
      </c>
      <c r="Q131" s="181" t="e">
        <f t="shared" si="99"/>
        <v>#DIV/0!</v>
      </c>
      <c r="R131" s="181" t="e">
        <f t="shared" si="99"/>
        <v>#DIV/0!</v>
      </c>
      <c r="S131" s="181" t="e">
        <f t="shared" si="99"/>
        <v>#DIV/0!</v>
      </c>
      <c r="T131" s="181" t="e">
        <f t="shared" si="99"/>
        <v>#DIV/0!</v>
      </c>
      <c r="U131" s="181" t="e">
        <f t="shared" si="99"/>
        <v>#DIV/0!</v>
      </c>
      <c r="V131" s="181" t="e">
        <f t="shared" si="99"/>
        <v>#DIV/0!</v>
      </c>
      <c r="W131" s="181">
        <f>(W128-W130)/W127</f>
        <v>-8227.8146013448586</v>
      </c>
      <c r="X131" s="181">
        <f>(X128-X130)/X127</f>
        <v>-8227.8146013448586</v>
      </c>
      <c r="Y131" s="303"/>
      <c r="Z131" s="303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1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1"/>
      <c r="BO131" s="121"/>
      <c r="BP131" s="121"/>
      <c r="BQ131" s="121"/>
      <c r="BR131" s="121"/>
    </row>
    <row r="132" spans="1:70" s="6" customFormat="1" x14ac:dyDescent="0.3">
      <c r="A132" s="144"/>
      <c r="B132" s="70" t="s">
        <v>392</v>
      </c>
      <c r="C132" s="418">
        <v>274</v>
      </c>
      <c r="D132" s="244">
        <v>304</v>
      </c>
      <c r="E132" s="244">
        <v>319</v>
      </c>
      <c r="F132" s="244">
        <v>331</v>
      </c>
      <c r="G132" s="244">
        <v>347</v>
      </c>
      <c r="H132" s="244">
        <v>337</v>
      </c>
      <c r="I132" s="244">
        <v>349</v>
      </c>
      <c r="J132" s="244">
        <v>367</v>
      </c>
      <c r="K132" s="244">
        <v>377</v>
      </c>
      <c r="L132" s="244">
        <v>381</v>
      </c>
      <c r="M132" s="244">
        <v>393</v>
      </c>
      <c r="N132" s="244">
        <v>394</v>
      </c>
      <c r="O132" s="244">
        <v>394</v>
      </c>
      <c r="P132" s="244">
        <v>394</v>
      </c>
      <c r="Q132" s="244"/>
      <c r="R132" s="244"/>
      <c r="S132" s="244"/>
      <c r="T132" s="244"/>
      <c r="U132" s="244"/>
      <c r="V132" s="244"/>
      <c r="W132" s="247">
        <f>AVERAGE(N132:P132)</f>
        <v>394</v>
      </c>
      <c r="X132" s="54">
        <f>W132</f>
        <v>394</v>
      </c>
      <c r="Y132" s="303"/>
      <c r="Z132" s="303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1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1"/>
      <c r="BO132" s="121"/>
      <c r="BP132" s="121"/>
      <c r="BQ132" s="121"/>
      <c r="BR132" s="121"/>
    </row>
    <row r="133" spans="1:70" s="3" customFormat="1" x14ac:dyDescent="0.3">
      <c r="A133" s="16"/>
      <c r="B133" s="47" t="s">
        <v>139</v>
      </c>
      <c r="C133" s="16">
        <f t="shared" ref="C133:V133" si="100">C132*$F$56</f>
        <v>274</v>
      </c>
      <c r="D133" s="47">
        <f t="shared" si="100"/>
        <v>304</v>
      </c>
      <c r="E133" s="47">
        <f t="shared" si="100"/>
        <v>319</v>
      </c>
      <c r="F133" s="47">
        <f t="shared" si="100"/>
        <v>331</v>
      </c>
      <c r="G133" s="47">
        <f t="shared" si="100"/>
        <v>347</v>
      </c>
      <c r="H133" s="47">
        <f t="shared" si="100"/>
        <v>337</v>
      </c>
      <c r="I133" s="47">
        <f t="shared" si="100"/>
        <v>349</v>
      </c>
      <c r="J133" s="47">
        <f t="shared" si="100"/>
        <v>367</v>
      </c>
      <c r="K133" s="47">
        <f t="shared" si="100"/>
        <v>377</v>
      </c>
      <c r="L133" s="47">
        <f t="shared" si="100"/>
        <v>381</v>
      </c>
      <c r="M133" s="47">
        <f t="shared" si="100"/>
        <v>393</v>
      </c>
      <c r="N133" s="47">
        <f t="shared" si="100"/>
        <v>394</v>
      </c>
      <c r="O133" s="47">
        <f t="shared" si="100"/>
        <v>394</v>
      </c>
      <c r="P133" s="47">
        <f t="shared" si="100"/>
        <v>394</v>
      </c>
      <c r="Q133" s="47">
        <f t="shared" si="100"/>
        <v>0</v>
      </c>
      <c r="R133" s="47">
        <f t="shared" si="100"/>
        <v>0</v>
      </c>
      <c r="S133" s="47">
        <f t="shared" si="100"/>
        <v>0</v>
      </c>
      <c r="T133" s="47">
        <f t="shared" si="100"/>
        <v>0</v>
      </c>
      <c r="U133" s="47">
        <f t="shared" si="100"/>
        <v>0</v>
      </c>
      <c r="V133" s="47">
        <f t="shared" si="100"/>
        <v>0</v>
      </c>
      <c r="W133" s="47">
        <f>AVERAGE(N133:P133)</f>
        <v>394</v>
      </c>
      <c r="X133" s="47">
        <f>W133</f>
        <v>394</v>
      </c>
      <c r="Y133" s="74"/>
      <c r="Z133" s="74"/>
      <c r="AM133" s="74"/>
      <c r="AN133" s="74"/>
      <c r="AO133" s="74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</row>
    <row r="134" spans="1:70" s="4" customFormat="1" x14ac:dyDescent="0.3">
      <c r="A134" s="14"/>
      <c r="B134" s="48" t="s">
        <v>2</v>
      </c>
      <c r="C134" s="67">
        <v>37.299999999999997</v>
      </c>
      <c r="D134" s="68">
        <v>42.1</v>
      </c>
      <c r="E134" s="68">
        <v>42.1</v>
      </c>
      <c r="F134" s="68">
        <v>38</v>
      </c>
      <c r="G134" s="68">
        <v>46.7</v>
      </c>
      <c r="H134" s="68">
        <v>39.9</v>
      </c>
      <c r="I134" s="68">
        <v>35.5</v>
      </c>
      <c r="J134" s="68">
        <v>30.7</v>
      </c>
      <c r="K134" s="68">
        <v>36.799999999999997</v>
      </c>
      <c r="L134" s="68">
        <v>36.9</v>
      </c>
      <c r="M134" s="68">
        <v>35</v>
      </c>
      <c r="N134" s="68">
        <v>39.700000000000003</v>
      </c>
      <c r="O134" s="68">
        <v>29.9</v>
      </c>
      <c r="P134" s="68">
        <v>28</v>
      </c>
      <c r="Q134" s="68"/>
      <c r="R134" s="68"/>
      <c r="S134" s="68"/>
      <c r="T134" s="57"/>
      <c r="U134" s="57"/>
      <c r="V134" s="68"/>
      <c r="W134" s="57">
        <v>33.200000000000003</v>
      </c>
      <c r="X134" s="48">
        <f>W134*(1+'Hypothèses production'!B5)</f>
        <v>33.200000000000003</v>
      </c>
      <c r="Y134" s="57"/>
      <c r="Z134" s="57"/>
      <c r="AM134" s="57"/>
      <c r="AN134" s="57"/>
      <c r="AO134" s="57"/>
      <c r="AP134" s="57"/>
      <c r="AQ134" s="57"/>
      <c r="AR134" s="57"/>
      <c r="AS134" s="57"/>
      <c r="AT134" s="57"/>
      <c r="AU134" s="57"/>
      <c r="AV134" s="57"/>
      <c r="AW134" s="57"/>
      <c r="AX134" s="57"/>
      <c r="AY134" s="57"/>
      <c r="AZ134" s="57"/>
      <c r="BA134" s="57"/>
      <c r="BB134" s="57"/>
      <c r="BC134" s="57"/>
      <c r="BD134" s="57"/>
      <c r="BE134" s="57"/>
      <c r="BF134" s="57"/>
      <c r="BG134" s="57"/>
      <c r="BH134" s="57"/>
      <c r="BI134" s="57"/>
      <c r="BJ134" s="57"/>
      <c r="BK134" s="57"/>
      <c r="BL134" s="57"/>
      <c r="BM134" s="57"/>
      <c r="BN134" s="57"/>
      <c r="BO134" s="57"/>
      <c r="BP134" s="57"/>
      <c r="BQ134" s="57"/>
      <c r="BR134" s="57"/>
    </row>
    <row r="135" spans="1:70" s="3" customFormat="1" x14ac:dyDescent="0.3">
      <c r="A135" s="16" t="s">
        <v>23</v>
      </c>
      <c r="B135" s="47" t="s">
        <v>138</v>
      </c>
      <c r="C135" s="16">
        <f>C134*C133</f>
        <v>10220.199999999999</v>
      </c>
      <c r="D135" s="47">
        <f t="shared" ref="D135" si="101">D134*D133</f>
        <v>12798.4</v>
      </c>
      <c r="E135" s="47">
        <f t="shared" ref="E135" si="102">E134*E133</f>
        <v>13429.9</v>
      </c>
      <c r="F135" s="47">
        <f t="shared" ref="F135" si="103">F134*F133</f>
        <v>12578</v>
      </c>
      <c r="G135" s="47">
        <f t="shared" ref="G135" si="104">G134*G133</f>
        <v>16204.900000000001</v>
      </c>
      <c r="H135" s="47">
        <f t="shared" ref="H135" si="105">H134*H133</f>
        <v>13446.3</v>
      </c>
      <c r="I135" s="47">
        <f t="shared" ref="I135" si="106">I134*I133</f>
        <v>12389.5</v>
      </c>
      <c r="J135" s="47">
        <f t="shared" ref="J135" si="107">J134*J133</f>
        <v>11266.9</v>
      </c>
      <c r="K135" s="47">
        <f t="shared" ref="K135" si="108">K134*K133</f>
        <v>13873.599999999999</v>
      </c>
      <c r="L135" s="47">
        <f t="shared" ref="L135" si="109">L134*L133</f>
        <v>14058.9</v>
      </c>
      <c r="M135" s="47">
        <f t="shared" ref="M135" si="110">M134*M133</f>
        <v>13755</v>
      </c>
      <c r="N135" s="47">
        <f t="shared" ref="N135" si="111">N134*N133</f>
        <v>15641.800000000001</v>
      </c>
      <c r="O135" s="47">
        <f t="shared" ref="O135:V135" si="112">O134*O133</f>
        <v>11780.599999999999</v>
      </c>
      <c r="P135" s="47">
        <f t="shared" si="112"/>
        <v>11032</v>
      </c>
      <c r="Q135" s="47">
        <f t="shared" si="112"/>
        <v>0</v>
      </c>
      <c r="R135" s="47">
        <f t="shared" si="112"/>
        <v>0</v>
      </c>
      <c r="S135" s="47">
        <f t="shared" si="112"/>
        <v>0</v>
      </c>
      <c r="T135" s="47">
        <f t="shared" si="112"/>
        <v>0</v>
      </c>
      <c r="U135" s="47">
        <f t="shared" si="112"/>
        <v>0</v>
      </c>
      <c r="V135" s="47">
        <f t="shared" si="112"/>
        <v>0</v>
      </c>
      <c r="W135" s="47">
        <f t="shared" ref="W135:X135" si="113">W134*W133</f>
        <v>13080.800000000001</v>
      </c>
      <c r="X135" s="47">
        <f t="shared" si="113"/>
        <v>13080.800000000001</v>
      </c>
      <c r="Y135" s="74"/>
      <c r="Z135" s="285"/>
      <c r="AM135" s="74"/>
      <c r="AN135" s="74"/>
      <c r="AO135" s="74"/>
      <c r="AP135" s="74"/>
      <c r="AQ135" s="74"/>
      <c r="AR135" s="74"/>
      <c r="AS135" s="74"/>
      <c r="AT135" s="74"/>
      <c r="AU135" s="74"/>
      <c r="AV135" s="509"/>
      <c r="AW135" s="232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</row>
    <row r="136" spans="1:70" s="8" customFormat="1" x14ac:dyDescent="0.3">
      <c r="A136" s="20"/>
      <c r="B136" s="49" t="s">
        <v>34</v>
      </c>
      <c r="C136" s="20">
        <f t="shared" ref="C136:P136" si="114">C12</f>
        <v>4.0122848261461934</v>
      </c>
      <c r="D136" s="49">
        <f t="shared" si="114"/>
        <v>4.1635701241775385</v>
      </c>
      <c r="E136" s="49">
        <f t="shared" si="114"/>
        <v>4.1245837479949614</v>
      </c>
      <c r="F136" s="49">
        <f t="shared" si="114"/>
        <v>4.0303297449608406</v>
      </c>
      <c r="G136" s="49">
        <f t="shared" si="114"/>
        <v>4.2169437919603805</v>
      </c>
      <c r="H136" s="49">
        <f t="shared" si="114"/>
        <v>4.0368924682936784</v>
      </c>
      <c r="I136" s="49">
        <f t="shared" si="114"/>
        <v>4.5965340873767264</v>
      </c>
      <c r="J136" s="49">
        <f t="shared" si="114"/>
        <v>4.2927865384580572</v>
      </c>
      <c r="K136" s="49">
        <f t="shared" si="114"/>
        <v>4.3623594872725153</v>
      </c>
      <c r="L136" s="49">
        <f t="shared" si="114"/>
        <v>4.6004803187771168</v>
      </c>
      <c r="M136" s="49">
        <f t="shared" si="114"/>
        <v>4.9650574603740072</v>
      </c>
      <c r="N136" s="49">
        <f t="shared" si="114"/>
        <v>4.678681069245588</v>
      </c>
      <c r="O136" s="49">
        <f t="shared" si="114"/>
        <v>3.94439710603924</v>
      </c>
      <c r="P136" s="49">
        <f t="shared" si="114"/>
        <v>3.9888474677843351</v>
      </c>
      <c r="Q136" s="49">
        <f>$O$136+(2/8)*($W$136-$O$136)</f>
        <v>4.0332978295294302</v>
      </c>
      <c r="R136" s="49">
        <f>$O$136+(3/8)*($W$136-$O$136)</f>
        <v>4.0777481912745248</v>
      </c>
      <c r="S136" s="49">
        <f>$O$136+(4/8)*($W$136-$O$136)</f>
        <v>4.1221985530196203</v>
      </c>
      <c r="T136" s="49">
        <f>$O$136+(5/8)*($W$136-$O$136)</f>
        <v>4.166648914764715</v>
      </c>
      <c r="U136" s="49">
        <f>$O$136+(6/8)*($W$136-$O$136)</f>
        <v>4.2110992765098096</v>
      </c>
      <c r="V136" s="49">
        <f>$O$136+(7/8)*($W$136-$O$136)</f>
        <v>4.2555496382549052</v>
      </c>
      <c r="W136" s="49">
        <f>W12</f>
        <v>4.3</v>
      </c>
      <c r="X136" s="49">
        <f>X12</f>
        <v>4.5149999999999997</v>
      </c>
      <c r="Y136" s="240"/>
      <c r="Z136" s="240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M136" s="240"/>
      <c r="AN136" s="240"/>
      <c r="AO136" s="240"/>
      <c r="AP136" s="240"/>
      <c r="AQ136" s="240"/>
      <c r="AR136" s="240"/>
      <c r="AS136" s="240"/>
      <c r="AT136" s="240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</row>
    <row r="137" spans="1:70" s="3" customFormat="1" x14ac:dyDescent="0.3">
      <c r="A137" s="16"/>
      <c r="B137" s="47" t="s">
        <v>297</v>
      </c>
      <c r="C137" s="16">
        <f t="shared" ref="C137:O137" si="115">C136*C66/1000</f>
        <v>30405.407370752295</v>
      </c>
      <c r="D137" s="47">
        <f t="shared" si="115"/>
        <v>31785.622804109022</v>
      </c>
      <c r="E137" s="47">
        <f t="shared" si="115"/>
        <v>31739.7608309307</v>
      </c>
      <c r="F137" s="47">
        <f t="shared" si="115"/>
        <v>31265.66587785949</v>
      </c>
      <c r="G137" s="47">
        <f t="shared" si="115"/>
        <v>32980.574020833206</v>
      </c>
      <c r="H137" s="47">
        <f t="shared" si="115"/>
        <v>31801.419723692175</v>
      </c>
      <c r="I137" s="47">
        <f t="shared" si="115"/>
        <v>36390.250154477842</v>
      </c>
      <c r="J137" s="47">
        <f t="shared" si="115"/>
        <v>34120.299437401176</v>
      </c>
      <c r="K137" s="47">
        <f t="shared" si="115"/>
        <v>34874.704064261146</v>
      </c>
      <c r="L137" s="47">
        <f t="shared" si="115"/>
        <v>37001.368773183953</v>
      </c>
      <c r="M137" s="47">
        <f t="shared" si="115"/>
        <v>40110.971382365387</v>
      </c>
      <c r="N137" s="47">
        <f t="shared" si="115"/>
        <v>37962.383078519262</v>
      </c>
      <c r="O137" s="47">
        <f t="shared" si="115"/>
        <v>32172.045056124502</v>
      </c>
      <c r="P137" s="47">
        <f t="shared" ref="P137:V137" si="116">P136*P66/1000</f>
        <v>32697.879068855225</v>
      </c>
      <c r="Q137" s="47">
        <f t="shared" si="116"/>
        <v>0</v>
      </c>
      <c r="R137" s="47">
        <f t="shared" si="116"/>
        <v>0</v>
      </c>
      <c r="S137" s="47">
        <f t="shared" si="116"/>
        <v>0</v>
      </c>
      <c r="T137" s="47">
        <f t="shared" si="116"/>
        <v>0</v>
      </c>
      <c r="U137" s="47">
        <f t="shared" si="116"/>
        <v>0</v>
      </c>
      <c r="V137" s="47">
        <f t="shared" si="116"/>
        <v>0</v>
      </c>
      <c r="W137" s="47">
        <f>W136*W66/1000</f>
        <v>35981.54</v>
      </c>
      <c r="X137" s="47">
        <f>X136*X66/1000</f>
        <v>37780.616999999998</v>
      </c>
      <c r="Y137" s="74"/>
      <c r="Z137" s="74"/>
      <c r="AM137" s="74"/>
      <c r="AN137" s="74"/>
      <c r="AO137" s="74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</row>
    <row r="138" spans="1:70" s="6" customFormat="1" x14ac:dyDescent="0.3">
      <c r="A138" s="205"/>
      <c r="B138" s="181" t="s">
        <v>298</v>
      </c>
      <c r="C138" s="205">
        <f t="shared" ref="C138:O138" si="117">(C135-C137)/C134</f>
        <v>-541.15837455099984</v>
      </c>
      <c r="D138" s="181">
        <f t="shared" si="117"/>
        <v>-451.0029169622095</v>
      </c>
      <c r="E138" s="181">
        <f t="shared" si="117"/>
        <v>-434.91355892947035</v>
      </c>
      <c r="F138" s="181">
        <f t="shared" si="117"/>
        <v>-491.78068099630235</v>
      </c>
      <c r="G138" s="181">
        <f t="shared" si="117"/>
        <v>-359.2221417737303</v>
      </c>
      <c r="H138" s="181">
        <f t="shared" si="117"/>
        <v>-460.02806325043048</v>
      </c>
      <c r="I138" s="181">
        <f t="shared" si="117"/>
        <v>-676.07746914022096</v>
      </c>
      <c r="J138" s="181">
        <f t="shared" si="117"/>
        <v>-744.41040512707411</v>
      </c>
      <c r="K138" s="181">
        <f t="shared" si="117"/>
        <v>-570.68217565927034</v>
      </c>
      <c r="L138" s="181">
        <f t="shared" si="117"/>
        <v>-621.74712122449739</v>
      </c>
      <c r="M138" s="181">
        <f t="shared" si="117"/>
        <v>-753.02775378186823</v>
      </c>
      <c r="N138" s="181">
        <f t="shared" si="117"/>
        <v>-562.23131180149267</v>
      </c>
      <c r="O138" s="181">
        <f t="shared" si="117"/>
        <v>-681.98812896737468</v>
      </c>
      <c r="P138" s="181">
        <f t="shared" ref="P138:V138" si="118">(P135-P137)/P134</f>
        <v>-773.781395316258</v>
      </c>
      <c r="Q138" s="181" t="e">
        <f t="shared" si="118"/>
        <v>#DIV/0!</v>
      </c>
      <c r="R138" s="181" t="e">
        <f t="shared" si="118"/>
        <v>#DIV/0!</v>
      </c>
      <c r="S138" s="181" t="e">
        <f t="shared" si="118"/>
        <v>#DIV/0!</v>
      </c>
      <c r="T138" s="181" t="e">
        <f t="shared" si="118"/>
        <v>#DIV/0!</v>
      </c>
      <c r="U138" s="181" t="e">
        <f t="shared" si="118"/>
        <v>#DIV/0!</v>
      </c>
      <c r="V138" s="181" t="e">
        <f t="shared" si="118"/>
        <v>#DIV/0!</v>
      </c>
      <c r="W138" s="181">
        <f>(W135-W137)/W134</f>
        <v>-689.78132530120467</v>
      </c>
      <c r="X138" s="181">
        <f>(X135-X137)/X134</f>
        <v>-743.97039156626488</v>
      </c>
      <c r="Y138" s="303"/>
      <c r="Z138" s="303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1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1"/>
      <c r="BO138" s="121"/>
      <c r="BP138" s="121"/>
      <c r="BQ138" s="121"/>
      <c r="BR138" s="121"/>
    </row>
    <row r="139" spans="1:70" s="6" customFormat="1" x14ac:dyDescent="0.3">
      <c r="A139" s="144"/>
      <c r="B139" s="70" t="s">
        <v>392</v>
      </c>
      <c r="C139" s="418">
        <v>1716</v>
      </c>
      <c r="D139" s="244">
        <v>1819</v>
      </c>
      <c r="E139" s="244">
        <v>1795</v>
      </c>
      <c r="F139" s="244">
        <v>1781</v>
      </c>
      <c r="G139" s="244">
        <v>1759</v>
      </c>
      <c r="H139" s="244">
        <v>1768</v>
      </c>
      <c r="I139" s="244">
        <v>1747</v>
      </c>
      <c r="J139" s="244">
        <v>1715</v>
      </c>
      <c r="K139" s="244">
        <v>1597</v>
      </c>
      <c r="L139" s="244">
        <v>1585</v>
      </c>
      <c r="M139" s="244">
        <v>1493</v>
      </c>
      <c r="N139" s="244">
        <v>1674</v>
      </c>
      <c r="O139" s="244">
        <v>1503</v>
      </c>
      <c r="P139" s="244">
        <v>1459</v>
      </c>
      <c r="Q139" s="244"/>
      <c r="R139" s="244"/>
      <c r="S139" s="244"/>
      <c r="T139" s="244"/>
      <c r="U139" s="244"/>
      <c r="V139" s="244"/>
      <c r="W139" s="247">
        <f>AVERAGE(N139:P139)</f>
        <v>1545.3333333333333</v>
      </c>
      <c r="X139" s="54">
        <f>W139</f>
        <v>1545.3333333333333</v>
      </c>
      <c r="Y139" s="303"/>
      <c r="Z139" s="303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1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1"/>
      <c r="BO139" s="121"/>
      <c r="BP139" s="121"/>
      <c r="BQ139" s="121"/>
      <c r="BR139" s="121"/>
    </row>
    <row r="140" spans="1:70" x14ac:dyDescent="0.3">
      <c r="A140" s="16"/>
      <c r="B140" s="47" t="s">
        <v>139</v>
      </c>
      <c r="C140" s="16">
        <f t="shared" ref="C140:V140" si="119">C139*$F$56</f>
        <v>1716</v>
      </c>
      <c r="D140" s="47">
        <f t="shared" si="119"/>
        <v>1819</v>
      </c>
      <c r="E140" s="47">
        <f t="shared" si="119"/>
        <v>1795</v>
      </c>
      <c r="F140" s="47">
        <f t="shared" si="119"/>
        <v>1781</v>
      </c>
      <c r="G140" s="47">
        <f t="shared" si="119"/>
        <v>1759</v>
      </c>
      <c r="H140" s="47">
        <f t="shared" si="119"/>
        <v>1768</v>
      </c>
      <c r="I140" s="47">
        <f t="shared" si="119"/>
        <v>1747</v>
      </c>
      <c r="J140" s="47">
        <f t="shared" si="119"/>
        <v>1715</v>
      </c>
      <c r="K140" s="47">
        <f t="shared" si="119"/>
        <v>1597</v>
      </c>
      <c r="L140" s="47">
        <f t="shared" si="119"/>
        <v>1585</v>
      </c>
      <c r="M140" s="47">
        <f t="shared" si="119"/>
        <v>1493</v>
      </c>
      <c r="N140" s="47">
        <f t="shared" si="119"/>
        <v>1674</v>
      </c>
      <c r="O140" s="47">
        <f t="shared" si="119"/>
        <v>1503</v>
      </c>
      <c r="P140" s="47">
        <f t="shared" si="119"/>
        <v>1459</v>
      </c>
      <c r="Q140" s="47">
        <f t="shared" si="119"/>
        <v>0</v>
      </c>
      <c r="R140" s="47">
        <f t="shared" si="119"/>
        <v>0</v>
      </c>
      <c r="S140" s="47">
        <f t="shared" si="119"/>
        <v>0</v>
      </c>
      <c r="T140" s="47">
        <f t="shared" si="119"/>
        <v>0</v>
      </c>
      <c r="U140" s="47">
        <f t="shared" si="119"/>
        <v>0</v>
      </c>
      <c r="V140" s="47">
        <f t="shared" si="119"/>
        <v>0</v>
      </c>
      <c r="W140" s="47">
        <f>AVERAGE(N140:P140)</f>
        <v>1545.3333333333333</v>
      </c>
      <c r="X140" s="47">
        <f>W140</f>
        <v>1545.3333333333333</v>
      </c>
      <c r="Y140" s="74"/>
      <c r="Z140" s="74"/>
      <c r="AM140" s="90"/>
      <c r="AN140" s="90"/>
      <c r="AO140" s="90"/>
      <c r="AP140" s="90"/>
      <c r="AQ140" s="90"/>
      <c r="AR140" s="90"/>
      <c r="AS140" s="157"/>
      <c r="AT140" s="90"/>
      <c r="AU140" s="90"/>
      <c r="AV140" s="90"/>
      <c r="AW140" s="90"/>
      <c r="AX140" s="90"/>
      <c r="AY140" s="90"/>
      <c r="AZ140" s="90"/>
      <c r="BA140" s="90"/>
      <c r="BB140" s="90"/>
      <c r="BC140" s="90"/>
      <c r="BD140" s="90"/>
      <c r="BE140" s="90"/>
      <c r="BF140" s="90"/>
      <c r="BG140" s="90"/>
      <c r="BH140" s="90"/>
      <c r="BI140" s="90"/>
      <c r="BJ140" s="90"/>
      <c r="BK140" s="90"/>
      <c r="BL140" s="90"/>
      <c r="BM140" s="90"/>
      <c r="BN140" s="90"/>
      <c r="BO140" s="90"/>
      <c r="BP140" s="90"/>
      <c r="BQ140" s="90"/>
      <c r="BR140" s="90"/>
    </row>
    <row r="141" spans="1:70" x14ac:dyDescent="0.3">
      <c r="A141" s="14"/>
      <c r="B141" s="48" t="s">
        <v>2</v>
      </c>
      <c r="C141" s="67">
        <v>26.5</v>
      </c>
      <c r="D141" s="68">
        <v>24.8</v>
      </c>
      <c r="E141" s="68">
        <v>26.8</v>
      </c>
      <c r="F141" s="68">
        <v>23.4</v>
      </c>
      <c r="G141" s="68">
        <v>20.399999999999999</v>
      </c>
      <c r="H141" s="68">
        <v>21.9</v>
      </c>
      <c r="I141" s="68">
        <v>19.5</v>
      </c>
      <c r="J141" s="68">
        <v>21.1</v>
      </c>
      <c r="K141" s="68">
        <v>21.1</v>
      </c>
      <c r="L141" s="68">
        <v>20.2</v>
      </c>
      <c r="M141" s="68">
        <v>20.3</v>
      </c>
      <c r="N141" s="68">
        <v>21.1</v>
      </c>
      <c r="O141" s="68">
        <v>19.7</v>
      </c>
      <c r="P141" s="83">
        <v>19.8</v>
      </c>
      <c r="Q141" s="83"/>
      <c r="R141" s="83"/>
      <c r="S141" s="83"/>
      <c r="T141" s="57"/>
      <c r="U141" s="57"/>
      <c r="V141" s="83"/>
      <c r="W141" s="57">
        <v>19.8</v>
      </c>
      <c r="X141" s="48">
        <f>W141*(1+'Hypothèses production'!B5)</f>
        <v>19.8</v>
      </c>
      <c r="Y141" s="57"/>
      <c r="Z141" s="57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M141" s="90"/>
      <c r="AN141" s="90"/>
      <c r="AO141" s="90"/>
      <c r="AP141" s="90"/>
      <c r="AQ141" s="90"/>
      <c r="AR141" s="90"/>
      <c r="AS141" s="157"/>
      <c r="AT141" s="90"/>
      <c r="AU141" s="90"/>
      <c r="AV141" s="90"/>
      <c r="AW141" s="90"/>
      <c r="AX141" s="90"/>
      <c r="AY141" s="90"/>
      <c r="AZ141" s="90"/>
      <c r="BA141" s="90"/>
      <c r="BB141" s="90"/>
      <c r="BC141" s="90"/>
      <c r="BD141" s="90"/>
      <c r="BE141" s="90"/>
      <c r="BF141" s="90"/>
      <c r="BG141" s="90"/>
      <c r="BH141" s="90"/>
      <c r="BI141" s="90"/>
      <c r="BJ141" s="90"/>
      <c r="BK141" s="90"/>
      <c r="BL141" s="90"/>
      <c r="BM141" s="90"/>
      <c r="BN141" s="90"/>
      <c r="BO141" s="90"/>
      <c r="BP141" s="90"/>
      <c r="BQ141" s="90"/>
      <c r="BR141" s="90"/>
    </row>
    <row r="142" spans="1:70" x14ac:dyDescent="0.3">
      <c r="A142" s="22" t="s">
        <v>21</v>
      </c>
      <c r="B142" s="47" t="s">
        <v>138</v>
      </c>
      <c r="C142" s="16">
        <f>C141*C140</f>
        <v>45474</v>
      </c>
      <c r="D142" s="47">
        <f t="shared" ref="D142" si="120">D141*D140</f>
        <v>45111.200000000004</v>
      </c>
      <c r="E142" s="47">
        <f t="shared" ref="E142" si="121">E141*E140</f>
        <v>48106</v>
      </c>
      <c r="F142" s="47">
        <f t="shared" ref="F142" si="122">F141*F140</f>
        <v>41675.399999999994</v>
      </c>
      <c r="G142" s="47">
        <f t="shared" ref="G142" si="123">G141*G140</f>
        <v>35883.599999999999</v>
      </c>
      <c r="H142" s="47">
        <f t="shared" ref="H142" si="124">H141*H140</f>
        <v>38719.199999999997</v>
      </c>
      <c r="I142" s="47">
        <f t="shared" ref="I142" si="125">I141*I140</f>
        <v>34066.5</v>
      </c>
      <c r="J142" s="47">
        <f t="shared" ref="J142" si="126">J141*J140</f>
        <v>36186.5</v>
      </c>
      <c r="K142" s="47">
        <f t="shared" ref="K142" si="127">K141*K140</f>
        <v>33696.700000000004</v>
      </c>
      <c r="L142" s="47">
        <f t="shared" ref="L142" si="128">L141*L140</f>
        <v>32017</v>
      </c>
      <c r="M142" s="47">
        <f t="shared" ref="M142" si="129">M141*M140</f>
        <v>30307.9</v>
      </c>
      <c r="N142" s="47">
        <f t="shared" ref="N142" si="130">N141*N140</f>
        <v>35321.4</v>
      </c>
      <c r="O142" s="47">
        <f t="shared" ref="O142:V142" si="131">O141*O140</f>
        <v>29609.1</v>
      </c>
      <c r="P142" s="47">
        <f t="shared" si="131"/>
        <v>28888.2</v>
      </c>
      <c r="Q142" s="47">
        <f t="shared" si="131"/>
        <v>0</v>
      </c>
      <c r="R142" s="47">
        <f t="shared" si="131"/>
        <v>0</v>
      </c>
      <c r="S142" s="47">
        <f t="shared" si="131"/>
        <v>0</v>
      </c>
      <c r="T142" s="47">
        <f t="shared" si="131"/>
        <v>0</v>
      </c>
      <c r="U142" s="47">
        <f t="shared" si="131"/>
        <v>0</v>
      </c>
      <c r="V142" s="47">
        <f t="shared" si="131"/>
        <v>0</v>
      </c>
      <c r="W142" s="47">
        <f t="shared" ref="W142:X142" si="132">W141*W140</f>
        <v>30597.599999999999</v>
      </c>
      <c r="X142" s="47">
        <f t="shared" si="132"/>
        <v>30597.599999999999</v>
      </c>
      <c r="Y142" s="74"/>
      <c r="Z142" s="285"/>
      <c r="AM142" s="90"/>
      <c r="AN142" s="90"/>
      <c r="AO142" s="90"/>
      <c r="AP142" s="90"/>
      <c r="AQ142" s="90"/>
      <c r="AR142" s="90"/>
      <c r="AS142" s="74"/>
      <c r="AT142" s="74"/>
      <c r="AU142" s="74"/>
      <c r="AV142" s="509"/>
      <c r="AW142" s="232"/>
      <c r="AX142" s="90"/>
      <c r="AY142" s="90"/>
      <c r="AZ142" s="90"/>
      <c r="BA142" s="90"/>
      <c r="BB142" s="90"/>
      <c r="BC142" s="90"/>
      <c r="BD142" s="90"/>
      <c r="BE142" s="90"/>
      <c r="BF142" s="90"/>
      <c r="BG142" s="90"/>
      <c r="BH142" s="90"/>
      <c r="BI142" s="90"/>
      <c r="BJ142" s="90"/>
      <c r="BK142" s="90"/>
      <c r="BL142" s="90"/>
      <c r="BM142" s="90"/>
      <c r="BN142" s="90"/>
      <c r="BO142" s="90"/>
      <c r="BP142" s="90"/>
      <c r="BQ142" s="90"/>
      <c r="BR142" s="90"/>
    </row>
    <row r="143" spans="1:70" x14ac:dyDescent="0.3">
      <c r="A143" s="22"/>
      <c r="B143" s="49" t="s">
        <v>34</v>
      </c>
      <c r="C143" s="14">
        <f t="shared" ref="C143:P143" si="133">C13</f>
        <v>7.1550309657886242</v>
      </c>
      <c r="D143" s="48">
        <f t="shared" si="133"/>
        <v>6.918433804642004</v>
      </c>
      <c r="E143" s="48">
        <f t="shared" si="133"/>
        <v>7.7285127513075897</v>
      </c>
      <c r="F143" s="48">
        <f t="shared" si="133"/>
        <v>7.2365408165564098</v>
      </c>
      <c r="G143" s="48">
        <f t="shared" si="133"/>
        <v>6.9261540403959154</v>
      </c>
      <c r="H143" s="48">
        <f t="shared" si="133"/>
        <v>7.1186758253055578</v>
      </c>
      <c r="I143" s="48">
        <f t="shared" si="133"/>
        <v>6.9837511458257202</v>
      </c>
      <c r="J143" s="48">
        <f t="shared" si="133"/>
        <v>6.418347226284733</v>
      </c>
      <c r="K143" s="48">
        <f t="shared" si="133"/>
        <v>6.3184437452591053</v>
      </c>
      <c r="L143" s="48">
        <f t="shared" si="133"/>
        <v>6.2239096109963556</v>
      </c>
      <c r="M143" s="48">
        <f t="shared" si="133"/>
        <v>6.0345228314128292</v>
      </c>
      <c r="N143" s="48">
        <f t="shared" si="133"/>
        <v>5.92703057083411</v>
      </c>
      <c r="O143" s="48">
        <f t="shared" si="133"/>
        <v>6.3541321604384393</v>
      </c>
      <c r="P143" s="48">
        <f t="shared" si="133"/>
        <v>6.3098656403836344</v>
      </c>
      <c r="Q143" s="49">
        <f>$O$143+(2/8)*($W$143-$O$143)</f>
        <v>6.2655991203288295</v>
      </c>
      <c r="R143" s="49">
        <f>$O$143+(3/8)*($W$143-$O$143)</f>
        <v>6.2213326002740246</v>
      </c>
      <c r="S143" s="49">
        <f>$O$143+(4/8)*($W$143-$O$143)</f>
        <v>6.1770660802192197</v>
      </c>
      <c r="T143" s="49">
        <f>$O$143+(5/8)*($W$143-$O$143)</f>
        <v>6.1327995601644147</v>
      </c>
      <c r="U143" s="49">
        <f>$O$143+(6/8)*($W$143-$O$143)</f>
        <v>6.0885330401096098</v>
      </c>
      <c r="V143" s="49">
        <f>$O$143+(7/8)*($W$143-$O$143)</f>
        <v>6.0442665200548049</v>
      </c>
      <c r="W143" s="48">
        <f>W13</f>
        <v>6</v>
      </c>
      <c r="X143" s="190">
        <f>X13</f>
        <v>6.3000000000000007</v>
      </c>
      <c r="Y143" s="57"/>
      <c r="Z143" s="57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M143" s="90"/>
      <c r="AN143" s="90"/>
      <c r="AO143" s="90"/>
      <c r="AP143" s="90"/>
      <c r="AQ143" s="90"/>
      <c r="AR143" s="90"/>
      <c r="AS143" s="157"/>
      <c r="AT143" s="90"/>
      <c r="AU143" s="90"/>
      <c r="AV143" s="90"/>
      <c r="AW143" s="90"/>
      <c r="AX143" s="90"/>
      <c r="AY143" s="90"/>
      <c r="AZ143" s="90"/>
      <c r="BA143" s="90"/>
      <c r="BB143" s="90"/>
      <c r="BC143" s="90"/>
      <c r="BD143" s="90"/>
      <c r="BE143" s="90"/>
      <c r="BF143" s="90"/>
      <c r="BG143" s="90"/>
      <c r="BH143" s="90"/>
      <c r="BI143" s="90"/>
      <c r="BJ143" s="90"/>
      <c r="BK143" s="90"/>
      <c r="BL143" s="90"/>
      <c r="BM143" s="90"/>
      <c r="BN143" s="90"/>
      <c r="BO143" s="90"/>
      <c r="BP143" s="90"/>
      <c r="BQ143" s="90"/>
      <c r="BR143" s="90"/>
    </row>
    <row r="144" spans="1:70" x14ac:dyDescent="0.3">
      <c r="A144" s="22"/>
      <c r="B144" s="47" t="s">
        <v>297</v>
      </c>
      <c r="C144" s="16">
        <f t="shared" ref="C144:O144" si="134">C143*C66/1000</f>
        <v>54221.382751161524</v>
      </c>
      <c r="D144" s="47">
        <f t="shared" si="134"/>
        <v>52816.866475375493</v>
      </c>
      <c r="E144" s="47">
        <f t="shared" si="134"/>
        <v>59472.945948678251</v>
      </c>
      <c r="F144" s="47">
        <f t="shared" si="134"/>
        <v>56138.152855813918</v>
      </c>
      <c r="G144" s="47">
        <f t="shared" si="134"/>
        <v>54169.215260699078</v>
      </c>
      <c r="H144" s="47">
        <f t="shared" si="134"/>
        <v>56078.778311657945</v>
      </c>
      <c r="I144" s="47">
        <f t="shared" si="134"/>
        <v>55289.58262512504</v>
      </c>
      <c r="J144" s="47">
        <f t="shared" si="134"/>
        <v>51014.865820165003</v>
      </c>
      <c r="K144" s="47">
        <f t="shared" si="134"/>
        <v>50512.539465280359</v>
      </c>
      <c r="L144" s="47">
        <f t="shared" si="134"/>
        <v>50058.506671028583</v>
      </c>
      <c r="M144" s="47">
        <f t="shared" si="134"/>
        <v>48750.809941038911</v>
      </c>
      <c r="N144" s="47">
        <f t="shared" si="134"/>
        <v>48091.374837904877</v>
      </c>
      <c r="O144" s="47">
        <f t="shared" si="134"/>
        <v>51826.786366210639</v>
      </c>
      <c r="P144" s="47">
        <f t="shared" ref="P144:V144" si="135">P143*P66/1000</f>
        <v>51724.019360557773</v>
      </c>
      <c r="Q144" s="47">
        <f t="shared" si="135"/>
        <v>0</v>
      </c>
      <c r="R144" s="47">
        <f t="shared" si="135"/>
        <v>0</v>
      </c>
      <c r="S144" s="47">
        <f t="shared" si="135"/>
        <v>0</v>
      </c>
      <c r="T144" s="47">
        <f t="shared" si="135"/>
        <v>0</v>
      </c>
      <c r="U144" s="47">
        <f t="shared" si="135"/>
        <v>0</v>
      </c>
      <c r="V144" s="47">
        <f t="shared" si="135"/>
        <v>0</v>
      </c>
      <c r="W144" s="47">
        <f>W143*W66/1000</f>
        <v>50206.8</v>
      </c>
      <c r="X144" s="47">
        <f>X143*X66/1000</f>
        <v>52717.140000000007</v>
      </c>
      <c r="Y144" s="74"/>
      <c r="Z144" s="74"/>
      <c r="AM144" s="90"/>
      <c r="AN144" s="90"/>
      <c r="AO144" s="90"/>
      <c r="AP144" s="90"/>
      <c r="AQ144" s="90"/>
      <c r="AR144" s="90"/>
      <c r="AS144" s="157"/>
      <c r="AT144" s="90"/>
      <c r="AU144" s="90"/>
      <c r="AV144" s="90"/>
      <c r="AW144" s="90"/>
      <c r="AX144" s="90"/>
      <c r="AY144" s="90"/>
      <c r="AZ144" s="90"/>
      <c r="BA144" s="90"/>
      <c r="BB144" s="90"/>
      <c r="BC144" s="90"/>
      <c r="BD144" s="90"/>
      <c r="BE144" s="90"/>
      <c r="BF144" s="90"/>
      <c r="BG144" s="90"/>
      <c r="BH144" s="90"/>
      <c r="BI144" s="90"/>
      <c r="BJ144" s="90"/>
      <c r="BK144" s="90"/>
      <c r="BL144" s="90"/>
      <c r="BM144" s="90"/>
      <c r="BN144" s="90"/>
      <c r="BO144" s="90"/>
      <c r="BP144" s="90"/>
      <c r="BQ144" s="90"/>
      <c r="BR144" s="90"/>
    </row>
    <row r="145" spans="1:70" x14ac:dyDescent="0.3">
      <c r="A145" s="22"/>
      <c r="B145" s="181" t="s">
        <v>298</v>
      </c>
      <c r="C145" s="205">
        <f t="shared" ref="C145:O145" si="136">(C142-C144)/C141</f>
        <v>-330.08991513817068</v>
      </c>
      <c r="D145" s="181">
        <f t="shared" si="136"/>
        <v>-310.71235787804386</v>
      </c>
      <c r="E145" s="181">
        <f t="shared" si="136"/>
        <v>-424.13977420441233</v>
      </c>
      <c r="F145" s="181">
        <f t="shared" si="136"/>
        <v>-618.06636135956944</v>
      </c>
      <c r="G145" s="181">
        <f t="shared" si="136"/>
        <v>-896.35368924995498</v>
      </c>
      <c r="H145" s="181">
        <f t="shared" si="136"/>
        <v>-792.67480875150454</v>
      </c>
      <c r="I145" s="181">
        <f t="shared" si="136"/>
        <v>-1088.3632115448738</v>
      </c>
      <c r="J145" s="181">
        <f t="shared" si="136"/>
        <v>-702.76615261445511</v>
      </c>
      <c r="K145" s="181">
        <f t="shared" si="136"/>
        <v>-796.95921636399783</v>
      </c>
      <c r="L145" s="181">
        <f t="shared" si="136"/>
        <v>-893.14389460537541</v>
      </c>
      <c r="M145" s="181">
        <f t="shared" si="136"/>
        <v>-908.51773108566056</v>
      </c>
      <c r="N145" s="181">
        <f t="shared" si="136"/>
        <v>-605.21207762582344</v>
      </c>
      <c r="O145" s="181">
        <f t="shared" si="136"/>
        <v>-1127.801338386327</v>
      </c>
      <c r="P145" s="181">
        <f t="shared" ref="P145:V145" si="137">(P142-P144)/P141</f>
        <v>-1153.3242101291803</v>
      </c>
      <c r="Q145" s="181" t="e">
        <f t="shared" si="137"/>
        <v>#DIV/0!</v>
      </c>
      <c r="R145" s="181" t="e">
        <f t="shared" si="137"/>
        <v>#DIV/0!</v>
      </c>
      <c r="S145" s="181" t="e">
        <f t="shared" si="137"/>
        <v>#DIV/0!</v>
      </c>
      <c r="T145" s="181" t="e">
        <f t="shared" si="137"/>
        <v>#DIV/0!</v>
      </c>
      <c r="U145" s="181" t="e">
        <f t="shared" si="137"/>
        <v>#DIV/0!</v>
      </c>
      <c r="V145" s="181" t="e">
        <f t="shared" si="137"/>
        <v>#DIV/0!</v>
      </c>
      <c r="W145" s="181">
        <f>(W142-W144)/W141</f>
        <v>-990.3636363636366</v>
      </c>
      <c r="X145" s="181">
        <f>(X142-X144)/X141</f>
        <v>-1117.1484848484852</v>
      </c>
      <c r="Y145" s="303"/>
      <c r="Z145" s="303"/>
      <c r="AM145" s="90"/>
      <c r="AN145" s="90"/>
      <c r="AO145" s="90"/>
      <c r="AP145" s="90"/>
      <c r="AQ145" s="90"/>
      <c r="AR145" s="90"/>
      <c r="AS145" s="157"/>
      <c r="AT145" s="90"/>
      <c r="AU145" s="90"/>
      <c r="AV145" s="90"/>
      <c r="AW145" s="90"/>
      <c r="AX145" s="90"/>
      <c r="AY145" s="90"/>
      <c r="AZ145" s="90"/>
      <c r="BA145" s="90"/>
      <c r="BB145" s="90"/>
      <c r="BC145" s="90"/>
      <c r="BD145" s="90"/>
      <c r="BE145" s="90"/>
      <c r="BF145" s="90"/>
      <c r="BG145" s="90"/>
      <c r="BH145" s="90"/>
      <c r="BI145" s="90"/>
      <c r="BJ145" s="90"/>
      <c r="BK145" s="90"/>
      <c r="BL145" s="90"/>
      <c r="BM145" s="90"/>
      <c r="BN145" s="90"/>
      <c r="BO145" s="90"/>
      <c r="BP145" s="90"/>
      <c r="BQ145" s="90"/>
      <c r="BR145" s="90"/>
    </row>
    <row r="146" spans="1:70" x14ac:dyDescent="0.3">
      <c r="A146" s="23"/>
      <c r="B146" s="70" t="s">
        <v>392</v>
      </c>
      <c r="C146" s="418">
        <v>564</v>
      </c>
      <c r="D146" s="244">
        <v>577</v>
      </c>
      <c r="E146" s="244">
        <v>594</v>
      </c>
      <c r="F146" s="244">
        <v>530</v>
      </c>
      <c r="G146" s="244">
        <v>499</v>
      </c>
      <c r="H146" s="244">
        <v>483</v>
      </c>
      <c r="I146" s="244">
        <v>488</v>
      </c>
      <c r="J146" s="244">
        <v>496</v>
      </c>
      <c r="K146" s="244">
        <v>500</v>
      </c>
      <c r="L146" s="244">
        <v>501</v>
      </c>
      <c r="M146" s="244">
        <v>551</v>
      </c>
      <c r="N146" s="244">
        <v>547</v>
      </c>
      <c r="O146" s="244">
        <v>547</v>
      </c>
      <c r="P146" s="244">
        <v>527</v>
      </c>
      <c r="Q146" s="244"/>
      <c r="R146" s="244"/>
      <c r="S146" s="244"/>
      <c r="T146" s="244"/>
      <c r="U146" s="244"/>
      <c r="V146" s="244"/>
      <c r="W146" s="247">
        <f>AVERAGE(N146:P146)</f>
        <v>540.33333333333337</v>
      </c>
      <c r="X146" s="54">
        <f>W146</f>
        <v>540.33333333333337</v>
      </c>
      <c r="Y146" s="303"/>
      <c r="Z146" s="303"/>
      <c r="AM146" s="90"/>
      <c r="AN146" s="90"/>
      <c r="AO146" s="90"/>
      <c r="AP146" s="90"/>
      <c r="AQ146" s="90"/>
      <c r="AR146" s="90"/>
      <c r="AS146" s="157"/>
      <c r="AT146" s="90"/>
      <c r="AU146" s="90"/>
      <c r="AV146" s="90"/>
      <c r="AW146" s="90"/>
      <c r="AX146" s="90"/>
      <c r="AY146" s="90"/>
      <c r="AZ146" s="90"/>
      <c r="BA146" s="90"/>
      <c r="BB146" s="90"/>
      <c r="BC146" s="90"/>
      <c r="BD146" s="90"/>
      <c r="BE146" s="90"/>
      <c r="BF146" s="90"/>
      <c r="BG146" s="90"/>
      <c r="BH146" s="90"/>
      <c r="BI146" s="90"/>
      <c r="BJ146" s="90"/>
      <c r="BK146" s="90"/>
      <c r="BL146" s="90"/>
      <c r="BM146" s="90"/>
      <c r="BN146" s="90"/>
      <c r="BO146" s="90"/>
      <c r="BP146" s="90"/>
      <c r="BQ146" s="90"/>
      <c r="BR146" s="90"/>
    </row>
    <row r="147" spans="1:70" x14ac:dyDescent="0.3">
      <c r="A147" s="16"/>
      <c r="B147" s="47" t="s">
        <v>139</v>
      </c>
      <c r="C147" s="16">
        <f t="shared" ref="C147:V147" si="138">C146*$F$56</f>
        <v>564</v>
      </c>
      <c r="D147" s="47">
        <f t="shared" si="138"/>
        <v>577</v>
      </c>
      <c r="E147" s="47">
        <f t="shared" si="138"/>
        <v>594</v>
      </c>
      <c r="F147" s="47">
        <f t="shared" si="138"/>
        <v>530</v>
      </c>
      <c r="G147" s="47">
        <f t="shared" si="138"/>
        <v>499</v>
      </c>
      <c r="H147" s="47">
        <f t="shared" si="138"/>
        <v>483</v>
      </c>
      <c r="I147" s="47">
        <f t="shared" si="138"/>
        <v>488</v>
      </c>
      <c r="J147" s="47">
        <f t="shared" si="138"/>
        <v>496</v>
      </c>
      <c r="K147" s="47">
        <f t="shared" si="138"/>
        <v>500</v>
      </c>
      <c r="L147" s="47">
        <f t="shared" si="138"/>
        <v>501</v>
      </c>
      <c r="M147" s="47">
        <f t="shared" si="138"/>
        <v>551</v>
      </c>
      <c r="N147" s="47">
        <f t="shared" si="138"/>
        <v>547</v>
      </c>
      <c r="O147" s="47">
        <f t="shared" si="138"/>
        <v>547</v>
      </c>
      <c r="P147" s="47">
        <f t="shared" si="138"/>
        <v>527</v>
      </c>
      <c r="Q147" s="47">
        <f t="shared" si="138"/>
        <v>0</v>
      </c>
      <c r="R147" s="47">
        <f t="shared" si="138"/>
        <v>0</v>
      </c>
      <c r="S147" s="47">
        <f t="shared" si="138"/>
        <v>0</v>
      </c>
      <c r="T147" s="47">
        <f t="shared" si="138"/>
        <v>0</v>
      </c>
      <c r="U147" s="47">
        <f t="shared" si="138"/>
        <v>0</v>
      </c>
      <c r="V147" s="47">
        <f t="shared" si="138"/>
        <v>0</v>
      </c>
      <c r="W147" s="47">
        <f>AVERAGE(N147:P147)</f>
        <v>540.33333333333337</v>
      </c>
      <c r="X147" s="47">
        <f>W147</f>
        <v>540.33333333333337</v>
      </c>
      <c r="Y147" s="74"/>
      <c r="Z147" s="74"/>
      <c r="AM147" s="90"/>
      <c r="AN147" s="90"/>
      <c r="AO147" s="90"/>
      <c r="AP147" s="90"/>
      <c r="AQ147" s="90"/>
      <c r="AR147" s="90"/>
      <c r="AS147" s="157"/>
      <c r="AT147" s="90"/>
      <c r="AU147" s="90"/>
      <c r="AV147" s="90"/>
      <c r="AW147" s="90"/>
      <c r="AX147" s="90"/>
      <c r="AY147" s="90"/>
      <c r="AZ147" s="90"/>
      <c r="BA147" s="90"/>
      <c r="BB147" s="90"/>
      <c r="BC147" s="90"/>
      <c r="BD147" s="90"/>
      <c r="BE147" s="90"/>
      <c r="BF147" s="90"/>
      <c r="BG147" s="90"/>
      <c r="BH147" s="90"/>
      <c r="BI147" s="90"/>
      <c r="BJ147" s="90"/>
      <c r="BK147" s="90"/>
      <c r="BL147" s="90"/>
      <c r="BM147" s="90"/>
      <c r="BN147" s="90"/>
      <c r="BO147" s="90"/>
      <c r="BP147" s="90"/>
      <c r="BQ147" s="90"/>
      <c r="BR147" s="90"/>
    </row>
    <row r="148" spans="1:70" x14ac:dyDescent="0.3">
      <c r="A148" s="14"/>
      <c r="B148" s="48" t="s">
        <v>2</v>
      </c>
      <c r="C148" s="67">
        <v>104.9</v>
      </c>
      <c r="D148" s="68">
        <v>108.2</v>
      </c>
      <c r="E148" s="68">
        <v>101.8</v>
      </c>
      <c r="F148" s="68">
        <v>108.1</v>
      </c>
      <c r="G148" s="68">
        <v>111</v>
      </c>
      <c r="H148" s="68">
        <v>112.8</v>
      </c>
      <c r="I148" s="68">
        <v>128.30000000000001</v>
      </c>
      <c r="J148" s="68">
        <v>130.6</v>
      </c>
      <c r="K148" s="68">
        <v>133.6</v>
      </c>
      <c r="L148" s="68">
        <v>128.19999999999999</v>
      </c>
      <c r="M148" s="68">
        <v>123.8</v>
      </c>
      <c r="N148" s="68">
        <v>124</v>
      </c>
      <c r="O148" s="68">
        <v>112.5</v>
      </c>
      <c r="P148" s="83">
        <v>95.8</v>
      </c>
      <c r="Q148" s="83"/>
      <c r="R148" s="83"/>
      <c r="S148" s="83"/>
      <c r="T148" s="57"/>
      <c r="U148" s="57"/>
      <c r="V148" s="83"/>
      <c r="W148" s="57">
        <v>114.5</v>
      </c>
      <c r="X148" s="48">
        <f>W148*(1+'Hypothèses production'!B5)</f>
        <v>114.5</v>
      </c>
      <c r="Y148" s="57"/>
      <c r="Z148" s="57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M148" s="90"/>
      <c r="AN148" s="90"/>
      <c r="AO148" s="90"/>
      <c r="AP148" s="90"/>
      <c r="AQ148" s="90"/>
      <c r="AR148" s="90"/>
      <c r="AS148" s="157"/>
      <c r="AT148" s="90"/>
      <c r="AU148" s="90"/>
      <c r="AV148" s="90"/>
      <c r="AW148" s="90"/>
      <c r="AX148" s="90"/>
      <c r="AY148" s="90"/>
      <c r="AZ148" s="90"/>
      <c r="BA148" s="90"/>
      <c r="BB148" s="90"/>
      <c r="BC148" s="90"/>
      <c r="BD148" s="90"/>
      <c r="BE148" s="90"/>
      <c r="BF148" s="90"/>
      <c r="BG148" s="90"/>
      <c r="BH148" s="90"/>
      <c r="BI148" s="90"/>
      <c r="BJ148" s="90"/>
      <c r="BK148" s="90"/>
      <c r="BL148" s="90"/>
      <c r="BM148" s="90"/>
      <c r="BN148" s="90"/>
      <c r="BO148" s="90"/>
      <c r="BP148" s="90"/>
      <c r="BQ148" s="90"/>
      <c r="BR148" s="90"/>
    </row>
    <row r="149" spans="1:70" x14ac:dyDescent="0.3">
      <c r="A149" s="16" t="s">
        <v>12</v>
      </c>
      <c r="B149" s="47" t="s">
        <v>138</v>
      </c>
      <c r="C149" s="16">
        <f>C148*C147</f>
        <v>59163.600000000006</v>
      </c>
      <c r="D149" s="47">
        <f t="shared" ref="D149" si="139">D148*D147</f>
        <v>62431.4</v>
      </c>
      <c r="E149" s="47">
        <f t="shared" ref="E149" si="140">E148*E147</f>
        <v>60469.2</v>
      </c>
      <c r="F149" s="47">
        <f t="shared" ref="F149" si="141">F148*F147</f>
        <v>57293</v>
      </c>
      <c r="G149" s="47">
        <f t="shared" ref="G149" si="142">G148*G147</f>
        <v>55389</v>
      </c>
      <c r="H149" s="47">
        <f t="shared" ref="H149" si="143">H148*H147</f>
        <v>54482.400000000001</v>
      </c>
      <c r="I149" s="47">
        <f t="shared" ref="I149" si="144">I148*I147</f>
        <v>62610.400000000009</v>
      </c>
      <c r="J149" s="47">
        <f t="shared" ref="J149" si="145">J148*J147</f>
        <v>64777.599999999999</v>
      </c>
      <c r="K149" s="47">
        <f t="shared" ref="K149" si="146">K148*K147</f>
        <v>66800</v>
      </c>
      <c r="L149" s="47">
        <f t="shared" ref="L149" si="147">L148*L147</f>
        <v>64228.2</v>
      </c>
      <c r="M149" s="47">
        <f t="shared" ref="M149" si="148">M148*M147</f>
        <v>68213.8</v>
      </c>
      <c r="N149" s="47">
        <f t="shared" ref="N149" si="149">N148*N147</f>
        <v>67828</v>
      </c>
      <c r="O149" s="47">
        <f t="shared" ref="O149:V149" si="150">O148*O147</f>
        <v>61537.5</v>
      </c>
      <c r="P149" s="47">
        <f t="shared" si="150"/>
        <v>50486.6</v>
      </c>
      <c r="Q149" s="47">
        <f t="shared" si="150"/>
        <v>0</v>
      </c>
      <c r="R149" s="47">
        <f t="shared" si="150"/>
        <v>0</v>
      </c>
      <c r="S149" s="47">
        <f t="shared" si="150"/>
        <v>0</v>
      </c>
      <c r="T149" s="47">
        <f t="shared" si="150"/>
        <v>0</v>
      </c>
      <c r="U149" s="47">
        <f t="shared" si="150"/>
        <v>0</v>
      </c>
      <c r="V149" s="47">
        <f t="shared" si="150"/>
        <v>0</v>
      </c>
      <c r="W149" s="47">
        <f t="shared" ref="W149:X149" si="151">W148*W147</f>
        <v>61868.166666666672</v>
      </c>
      <c r="X149" s="47">
        <f t="shared" si="151"/>
        <v>61868.166666666672</v>
      </c>
      <c r="Y149" s="74"/>
      <c r="Z149" s="285"/>
      <c r="AM149" s="90"/>
      <c r="AN149" s="90"/>
      <c r="AO149" s="90"/>
      <c r="AP149" s="90"/>
      <c r="AQ149" s="90"/>
      <c r="AR149" s="90"/>
      <c r="AS149" s="74"/>
      <c r="AT149" s="74"/>
      <c r="AU149" s="74"/>
      <c r="AV149" s="509"/>
      <c r="AW149" s="232"/>
      <c r="AX149" s="90"/>
      <c r="AY149" s="90"/>
      <c r="AZ149" s="90"/>
      <c r="BA149" s="90"/>
      <c r="BB149" s="90"/>
      <c r="BC149" s="90"/>
      <c r="BD149" s="90"/>
      <c r="BE149" s="90"/>
      <c r="BF149" s="90"/>
      <c r="BG149" s="90"/>
      <c r="BH149" s="90"/>
      <c r="BI149" s="90"/>
      <c r="BJ149" s="90"/>
      <c r="BK149" s="90"/>
      <c r="BL149" s="90"/>
      <c r="BM149" s="90"/>
      <c r="BN149" s="90"/>
      <c r="BO149" s="90"/>
      <c r="BP149" s="90"/>
      <c r="BQ149" s="90"/>
      <c r="BR149" s="90"/>
    </row>
    <row r="150" spans="1:70" x14ac:dyDescent="0.3">
      <c r="A150" s="14"/>
      <c r="B150" s="48" t="s">
        <v>296</v>
      </c>
      <c r="C150" s="14">
        <f t="shared" ref="C150:P150" si="152">C14</f>
        <v>26.3</v>
      </c>
      <c r="D150" s="48">
        <f t="shared" si="152"/>
        <v>28.4</v>
      </c>
      <c r="E150" s="48">
        <f t="shared" si="152"/>
        <v>26.6</v>
      </c>
      <c r="F150" s="48">
        <f t="shared" si="152"/>
        <v>26.8</v>
      </c>
      <c r="G150" s="48">
        <f t="shared" si="152"/>
        <v>26.6</v>
      </c>
      <c r="H150" s="48">
        <f t="shared" si="152"/>
        <v>26.5</v>
      </c>
      <c r="I150" s="48">
        <f t="shared" si="152"/>
        <v>27.9</v>
      </c>
      <c r="J150" s="48">
        <f t="shared" si="152"/>
        <v>27.2</v>
      </c>
      <c r="K150" s="48">
        <f t="shared" si="152"/>
        <v>25.7</v>
      </c>
      <c r="L150" s="48">
        <f t="shared" si="152"/>
        <v>25</v>
      </c>
      <c r="M150" s="48">
        <f t="shared" si="152"/>
        <v>27</v>
      </c>
      <c r="N150" s="48">
        <f t="shared" si="152"/>
        <v>26.9</v>
      </c>
      <c r="O150" s="48">
        <f t="shared" si="152"/>
        <v>26.8</v>
      </c>
      <c r="P150" s="48">
        <f t="shared" si="152"/>
        <v>26.7</v>
      </c>
      <c r="Q150" s="49">
        <f>$O$150+(2/8)*($W$150-$O$150)</f>
        <v>26.6</v>
      </c>
      <c r="R150" s="49">
        <f>$O$150+(3/8)*($W$150-$O$150)</f>
        <v>26.5</v>
      </c>
      <c r="S150" s="49">
        <f>$O$150+(4/8)*($W$150-$O$150)</f>
        <v>26.4</v>
      </c>
      <c r="T150" s="49">
        <f>$O$150+(5/8)*($W$150-$O$150)</f>
        <v>26.3</v>
      </c>
      <c r="U150" s="49">
        <f>$O$150+(6/8)*($W$150-$O$150)</f>
        <v>26.2</v>
      </c>
      <c r="V150" s="49">
        <f>$O$150+(7/8)*($W$150-$O$150)</f>
        <v>26.1</v>
      </c>
      <c r="W150" s="48">
        <f>W14</f>
        <v>26</v>
      </c>
      <c r="X150" s="190">
        <f>X14</f>
        <v>27.3</v>
      </c>
      <c r="Y150" s="57"/>
      <c r="Z150" s="57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M150" s="90"/>
      <c r="AN150" s="90"/>
      <c r="AO150" s="90"/>
      <c r="AP150" s="90"/>
      <c r="AQ150" s="90"/>
      <c r="AR150" s="90"/>
      <c r="AS150" s="157"/>
      <c r="AT150" s="90"/>
      <c r="AU150" s="90"/>
      <c r="AV150" s="90"/>
      <c r="AW150" s="90"/>
      <c r="AX150" s="90"/>
      <c r="AY150" s="90"/>
      <c r="AZ150" s="90"/>
      <c r="BA150" s="90"/>
      <c r="BB150" s="90"/>
      <c r="BC150" s="90"/>
      <c r="BD150" s="90"/>
      <c r="BE150" s="90"/>
      <c r="BF150" s="90"/>
      <c r="BG150" s="90"/>
      <c r="BH150" s="90"/>
      <c r="BI150" s="90"/>
      <c r="BJ150" s="90"/>
      <c r="BK150" s="90"/>
      <c r="BL150" s="90"/>
      <c r="BM150" s="90"/>
      <c r="BN150" s="90"/>
      <c r="BO150" s="90"/>
      <c r="BP150" s="90"/>
      <c r="BQ150" s="90"/>
      <c r="BR150" s="90"/>
    </row>
    <row r="151" spans="1:70" x14ac:dyDescent="0.3">
      <c r="A151" s="16"/>
      <c r="B151" s="47" t="s">
        <v>297</v>
      </c>
      <c r="C151" s="16">
        <f t="shared" ref="C151:O151" si="153">C150*C66/1000</f>
        <v>199303.45140000002</v>
      </c>
      <c r="D151" s="47">
        <f t="shared" si="153"/>
        <v>216811.9332</v>
      </c>
      <c r="E151" s="47">
        <f t="shared" si="153"/>
        <v>204694.02240000002</v>
      </c>
      <c r="F151" s="47">
        <f t="shared" si="153"/>
        <v>207903.546</v>
      </c>
      <c r="G151" s="47">
        <f t="shared" si="153"/>
        <v>208037.69560000004</v>
      </c>
      <c r="H151" s="47">
        <f t="shared" si="153"/>
        <v>208758.997</v>
      </c>
      <c r="I151" s="47">
        <f t="shared" si="153"/>
        <v>220881.20309999998</v>
      </c>
      <c r="J151" s="47">
        <f t="shared" si="153"/>
        <v>216193.40640000001</v>
      </c>
      <c r="K151" s="47">
        <f t="shared" si="153"/>
        <v>205457.59629999998</v>
      </c>
      <c r="L151" s="47">
        <f t="shared" si="153"/>
        <v>201073.4</v>
      </c>
      <c r="M151" s="47">
        <f t="shared" si="153"/>
        <v>218123.60399999999</v>
      </c>
      <c r="N151" s="47">
        <f t="shared" si="153"/>
        <v>218264.09829999998</v>
      </c>
      <c r="O151" s="47">
        <f t="shared" si="153"/>
        <v>218591.2788</v>
      </c>
      <c r="P151" s="47">
        <f t="shared" ref="P151:V151" si="154">P150*P66/1000</f>
        <v>218868.57750000001</v>
      </c>
      <c r="Q151" s="47">
        <f t="shared" si="154"/>
        <v>0</v>
      </c>
      <c r="R151" s="47">
        <f t="shared" si="154"/>
        <v>0</v>
      </c>
      <c r="S151" s="47">
        <f t="shared" si="154"/>
        <v>0</v>
      </c>
      <c r="T151" s="47">
        <f t="shared" si="154"/>
        <v>0</v>
      </c>
      <c r="U151" s="47">
        <f t="shared" si="154"/>
        <v>0</v>
      </c>
      <c r="V151" s="47">
        <f t="shared" si="154"/>
        <v>0</v>
      </c>
      <c r="W151" s="47">
        <f>W150*W66/1000</f>
        <v>217562.8</v>
      </c>
      <c r="X151" s="47">
        <f>X150*X66/1000</f>
        <v>228440.94</v>
      </c>
      <c r="Y151" s="74"/>
      <c r="Z151" s="74"/>
      <c r="AM151" s="90"/>
      <c r="AN151" s="90"/>
      <c r="AO151" s="90"/>
      <c r="AP151" s="90"/>
      <c r="AQ151" s="90"/>
      <c r="AR151" s="90"/>
      <c r="AS151" s="157"/>
      <c r="AT151" s="90"/>
      <c r="AU151" s="90"/>
      <c r="AV151" s="90"/>
      <c r="AW151" s="90"/>
      <c r="AX151" s="90"/>
      <c r="AY151" s="90"/>
      <c r="AZ151" s="90"/>
      <c r="BA151" s="90"/>
      <c r="BB151" s="90"/>
      <c r="BC151" s="90"/>
      <c r="BD151" s="90"/>
      <c r="BE151" s="90"/>
      <c r="BF151" s="90"/>
      <c r="BG151" s="90"/>
      <c r="BH151" s="90"/>
      <c r="BI151" s="90"/>
      <c r="BJ151" s="90"/>
      <c r="BK151" s="90"/>
      <c r="BL151" s="90"/>
      <c r="BM151" s="90"/>
      <c r="BN151" s="90"/>
      <c r="BO151" s="90"/>
      <c r="BP151" s="90"/>
      <c r="BQ151" s="90"/>
      <c r="BR151" s="90"/>
    </row>
    <row r="152" spans="1:70" x14ac:dyDescent="0.3">
      <c r="A152" s="205"/>
      <c r="B152" s="181" t="s">
        <v>298</v>
      </c>
      <c r="C152" s="205">
        <f t="shared" ref="C152:O152" si="155">(C149-C151)/C148</f>
        <v>-1335.9375729265969</v>
      </c>
      <c r="D152" s="181">
        <f t="shared" si="155"/>
        <v>-1426.807146025878</v>
      </c>
      <c r="E152" s="181">
        <f t="shared" si="155"/>
        <v>-1416.7467819253438</v>
      </c>
      <c r="F152" s="181">
        <f t="shared" si="155"/>
        <v>-1393.2520444033303</v>
      </c>
      <c r="G152" s="181">
        <f t="shared" si="155"/>
        <v>-1375.2134738738741</v>
      </c>
      <c r="H152" s="181">
        <f t="shared" si="155"/>
        <v>-1367.7003280141846</v>
      </c>
      <c r="I152" s="181">
        <f t="shared" si="155"/>
        <v>-1233.5994006235383</v>
      </c>
      <c r="J152" s="181">
        <f t="shared" si="155"/>
        <v>-1159.3859601837673</v>
      </c>
      <c r="K152" s="181">
        <f t="shared" si="155"/>
        <v>-1037.8562597305388</v>
      </c>
      <c r="L152" s="181">
        <f t="shared" si="155"/>
        <v>-1067.4352574102966</v>
      </c>
      <c r="M152" s="181">
        <f t="shared" si="155"/>
        <v>-1210.9031017770599</v>
      </c>
      <c r="N152" s="181">
        <f t="shared" si="155"/>
        <v>-1213.1943411290322</v>
      </c>
      <c r="O152" s="181">
        <f t="shared" si="155"/>
        <v>-1396.0335893333333</v>
      </c>
      <c r="P152" s="181">
        <f t="shared" ref="P152:V152" si="156">(P149-P151)/P148</f>
        <v>-1757.6406837160753</v>
      </c>
      <c r="Q152" s="181" t="e">
        <f t="shared" si="156"/>
        <v>#DIV/0!</v>
      </c>
      <c r="R152" s="181" t="e">
        <f t="shared" si="156"/>
        <v>#DIV/0!</v>
      </c>
      <c r="S152" s="181" t="e">
        <f t="shared" si="156"/>
        <v>#DIV/0!</v>
      </c>
      <c r="T152" s="181" t="e">
        <f t="shared" si="156"/>
        <v>#DIV/0!</v>
      </c>
      <c r="U152" s="181" t="e">
        <f t="shared" si="156"/>
        <v>#DIV/0!</v>
      </c>
      <c r="V152" s="181" t="e">
        <f t="shared" si="156"/>
        <v>#DIV/0!</v>
      </c>
      <c r="W152" s="181">
        <f>(W149-W151)/W148</f>
        <v>-1359.7784570596796</v>
      </c>
      <c r="X152" s="181">
        <f>(X149-X151)/X148</f>
        <v>-1454.7840465793304</v>
      </c>
      <c r="Y152" s="303"/>
      <c r="Z152" s="303"/>
      <c r="AM152" s="90"/>
      <c r="AN152" s="90"/>
      <c r="AO152" s="90"/>
      <c r="AP152" s="90"/>
      <c r="AQ152" s="90"/>
      <c r="AR152" s="90"/>
      <c r="AS152" s="157"/>
      <c r="AT152" s="90"/>
      <c r="AU152" s="90"/>
      <c r="AV152" s="90"/>
      <c r="AW152" s="90"/>
      <c r="AX152" s="90"/>
      <c r="AY152" s="90"/>
      <c r="AZ152" s="90"/>
      <c r="BA152" s="90"/>
      <c r="BB152" s="90"/>
      <c r="BC152" s="90"/>
      <c r="BD152" s="90"/>
      <c r="BE152" s="90"/>
      <c r="BF152" s="90"/>
      <c r="BG152" s="90"/>
      <c r="BH152" s="90"/>
      <c r="BI152" s="90"/>
      <c r="BJ152" s="90"/>
      <c r="BK152" s="90"/>
      <c r="BL152" s="90"/>
      <c r="BM152" s="90"/>
      <c r="BN152" s="90"/>
      <c r="BO152" s="90"/>
      <c r="BP152" s="90"/>
      <c r="BQ152" s="90"/>
      <c r="BR152" s="90"/>
    </row>
    <row r="153" spans="1:70" x14ac:dyDescent="0.3">
      <c r="A153" s="144"/>
      <c r="B153" s="70" t="s">
        <v>392</v>
      </c>
      <c r="C153" s="418">
        <v>596</v>
      </c>
      <c r="D153" s="244">
        <v>594</v>
      </c>
      <c r="E153" s="244">
        <v>590</v>
      </c>
      <c r="F153" s="244">
        <v>589</v>
      </c>
      <c r="G153" s="244">
        <v>586</v>
      </c>
      <c r="H153" s="244">
        <v>584</v>
      </c>
      <c r="I153" s="244">
        <v>557</v>
      </c>
      <c r="J153" s="244">
        <v>554</v>
      </c>
      <c r="K153" s="244">
        <v>553</v>
      </c>
      <c r="L153" s="244">
        <v>535</v>
      </c>
      <c r="M153" s="244">
        <v>515</v>
      </c>
      <c r="N153" s="244">
        <v>535</v>
      </c>
      <c r="O153" s="244">
        <v>533</v>
      </c>
      <c r="P153" s="244">
        <v>543</v>
      </c>
      <c r="Q153" s="244"/>
      <c r="R153" s="244"/>
      <c r="S153" s="244"/>
      <c r="T153" s="244"/>
      <c r="U153" s="244"/>
      <c r="V153" s="244"/>
      <c r="W153" s="247">
        <f>AVERAGE(N153:P153)</f>
        <v>537</v>
      </c>
      <c r="X153" s="54">
        <f>W153</f>
        <v>537</v>
      </c>
      <c r="Y153" s="303"/>
      <c r="Z153" s="303"/>
      <c r="AM153" s="90"/>
      <c r="AN153" s="90"/>
      <c r="AO153" s="90"/>
      <c r="AP153" s="90"/>
      <c r="AQ153" s="90"/>
      <c r="AR153" s="90"/>
      <c r="AS153" s="157"/>
      <c r="AT153" s="90"/>
      <c r="AU153" s="90"/>
      <c r="AV153" s="90"/>
      <c r="AW153" s="90"/>
      <c r="AX153" s="90"/>
      <c r="AY153" s="90"/>
      <c r="AZ153" s="90"/>
      <c r="BA153" s="90"/>
      <c r="BB153" s="90"/>
      <c r="BC153" s="90"/>
      <c r="BD153" s="90"/>
      <c r="BE153" s="90"/>
      <c r="BF153" s="90"/>
      <c r="BG153" s="90"/>
      <c r="BH153" s="90"/>
      <c r="BI153" s="90"/>
      <c r="BJ153" s="90"/>
      <c r="BK153" s="90"/>
      <c r="BL153" s="90"/>
      <c r="BM153" s="90"/>
      <c r="BN153" s="90"/>
      <c r="BO153" s="90"/>
      <c r="BP153" s="90"/>
      <c r="BQ153" s="90"/>
      <c r="BR153" s="90"/>
    </row>
    <row r="154" spans="1:70" x14ac:dyDescent="0.3">
      <c r="A154" s="22"/>
      <c r="B154" s="47" t="s">
        <v>139</v>
      </c>
      <c r="C154" s="16">
        <f t="shared" ref="C154:V154" si="157">C153*$F$56</f>
        <v>596</v>
      </c>
      <c r="D154" s="47">
        <f t="shared" si="157"/>
        <v>594</v>
      </c>
      <c r="E154" s="47">
        <f t="shared" si="157"/>
        <v>590</v>
      </c>
      <c r="F154" s="47">
        <f t="shared" si="157"/>
        <v>589</v>
      </c>
      <c r="G154" s="47">
        <f t="shared" si="157"/>
        <v>586</v>
      </c>
      <c r="H154" s="47">
        <f t="shared" si="157"/>
        <v>584</v>
      </c>
      <c r="I154" s="47">
        <f t="shared" si="157"/>
        <v>557</v>
      </c>
      <c r="J154" s="47">
        <f t="shared" si="157"/>
        <v>554</v>
      </c>
      <c r="K154" s="47">
        <f t="shared" si="157"/>
        <v>553</v>
      </c>
      <c r="L154" s="47">
        <f t="shared" si="157"/>
        <v>535</v>
      </c>
      <c r="M154" s="47">
        <f t="shared" si="157"/>
        <v>515</v>
      </c>
      <c r="N154" s="47">
        <f t="shared" si="157"/>
        <v>535</v>
      </c>
      <c r="O154" s="47">
        <f t="shared" si="157"/>
        <v>533</v>
      </c>
      <c r="P154" s="47">
        <f t="shared" si="157"/>
        <v>543</v>
      </c>
      <c r="Q154" s="47">
        <f t="shared" si="157"/>
        <v>0</v>
      </c>
      <c r="R154" s="47">
        <f t="shared" si="157"/>
        <v>0</v>
      </c>
      <c r="S154" s="47">
        <f t="shared" si="157"/>
        <v>0</v>
      </c>
      <c r="T154" s="47">
        <f t="shared" si="157"/>
        <v>0</v>
      </c>
      <c r="U154" s="47">
        <f t="shared" si="157"/>
        <v>0</v>
      </c>
      <c r="V154" s="47">
        <f t="shared" si="157"/>
        <v>0</v>
      </c>
      <c r="W154" s="47">
        <f>AVERAGE(N154:P154)</f>
        <v>537</v>
      </c>
      <c r="X154" s="47">
        <f>W154</f>
        <v>537</v>
      </c>
      <c r="Y154" s="74"/>
      <c r="Z154" s="74"/>
      <c r="AM154" s="90"/>
      <c r="AN154" s="90"/>
      <c r="AO154" s="90"/>
      <c r="AP154" s="90"/>
      <c r="AQ154" s="90"/>
      <c r="AR154" s="90"/>
      <c r="AS154" s="157"/>
      <c r="AT154" s="90"/>
      <c r="AU154" s="90"/>
      <c r="AV154" s="90"/>
      <c r="AW154" s="90"/>
      <c r="AX154" s="90"/>
      <c r="AY154" s="90"/>
      <c r="AZ154" s="90"/>
      <c r="BA154" s="90"/>
      <c r="BB154" s="90"/>
      <c r="BC154" s="90"/>
      <c r="BD154" s="90"/>
      <c r="BE154" s="90"/>
      <c r="BF154" s="90"/>
      <c r="BG154" s="90"/>
      <c r="BH154" s="90"/>
      <c r="BI154" s="90"/>
      <c r="BJ154" s="90"/>
      <c r="BK154" s="90"/>
      <c r="BL154" s="90"/>
      <c r="BM154" s="90"/>
      <c r="BN154" s="90"/>
      <c r="BO154" s="90"/>
      <c r="BP154" s="90"/>
      <c r="BQ154" s="90"/>
      <c r="BR154" s="90"/>
    </row>
    <row r="155" spans="1:70" x14ac:dyDescent="0.3">
      <c r="A155" s="22"/>
      <c r="B155" s="48" t="s">
        <v>2</v>
      </c>
      <c r="C155" s="67">
        <v>33.9</v>
      </c>
      <c r="D155" s="68">
        <v>36.799999999999997</v>
      </c>
      <c r="E155" s="68">
        <v>37.799999999999997</v>
      </c>
      <c r="F155" s="68">
        <v>35.799999999999997</v>
      </c>
      <c r="G155" s="68">
        <v>37.799999999999997</v>
      </c>
      <c r="H155" s="68">
        <v>39.799999999999997</v>
      </c>
      <c r="I155" s="68">
        <v>37.799999999999997</v>
      </c>
      <c r="J155" s="68">
        <v>34</v>
      </c>
      <c r="K155" s="68">
        <v>39</v>
      </c>
      <c r="L155" s="68">
        <v>32</v>
      </c>
      <c r="M155" s="68">
        <v>38</v>
      </c>
      <c r="N155" s="68">
        <v>41</v>
      </c>
      <c r="O155" s="68">
        <v>36</v>
      </c>
      <c r="P155" s="84">
        <v>40</v>
      </c>
      <c r="Q155" s="83"/>
      <c r="R155" s="83"/>
      <c r="S155" s="83"/>
      <c r="T155" s="57"/>
      <c r="U155" s="57"/>
      <c r="V155" s="83"/>
      <c r="W155" s="57">
        <v>36.700000000000003</v>
      </c>
      <c r="X155" s="48">
        <f>W155*(1+'Hypothèses production'!B5)</f>
        <v>36.700000000000003</v>
      </c>
      <c r="Y155" s="57"/>
      <c r="Z155" s="57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M155" s="90"/>
      <c r="AN155" s="90"/>
      <c r="AO155" s="90"/>
      <c r="AP155" s="90"/>
      <c r="AQ155" s="90"/>
      <c r="AR155" s="90"/>
      <c r="AS155" s="157"/>
      <c r="AT155" s="90"/>
      <c r="AU155" s="90"/>
      <c r="AV155" s="90"/>
      <c r="AW155" s="90"/>
      <c r="AX155" s="90"/>
      <c r="AY155" s="90"/>
      <c r="AZ155" s="90"/>
      <c r="BA155" s="90"/>
      <c r="BB155" s="90"/>
      <c r="BC155" s="90"/>
      <c r="BD155" s="90"/>
      <c r="BE155" s="90"/>
      <c r="BF155" s="90"/>
      <c r="BG155" s="90"/>
      <c r="BH155" s="90"/>
      <c r="BI155" s="90"/>
      <c r="BJ155" s="90"/>
      <c r="BK155" s="90"/>
      <c r="BL155" s="90"/>
      <c r="BM155" s="90"/>
      <c r="BN155" s="90"/>
      <c r="BO155" s="90"/>
      <c r="BP155" s="90"/>
      <c r="BQ155" s="90"/>
      <c r="BR155" s="90"/>
    </row>
    <row r="156" spans="1:70" x14ac:dyDescent="0.3">
      <c r="A156" s="22" t="s">
        <v>20</v>
      </c>
      <c r="B156" s="47" t="s">
        <v>138</v>
      </c>
      <c r="C156" s="16">
        <f>C155*C154</f>
        <v>20204.399999999998</v>
      </c>
      <c r="D156" s="47">
        <f t="shared" ref="D156" si="158">D155*D154</f>
        <v>21859.199999999997</v>
      </c>
      <c r="E156" s="47">
        <f t="shared" ref="E156" si="159">E155*E154</f>
        <v>22302</v>
      </c>
      <c r="F156" s="47">
        <f t="shared" ref="F156" si="160">F155*F154</f>
        <v>21086.199999999997</v>
      </c>
      <c r="G156" s="47">
        <f t="shared" ref="G156" si="161">G155*G154</f>
        <v>22150.799999999999</v>
      </c>
      <c r="H156" s="47">
        <f t="shared" ref="H156" si="162">H155*H154</f>
        <v>23243.199999999997</v>
      </c>
      <c r="I156" s="47">
        <f t="shared" ref="I156" si="163">I155*I154</f>
        <v>21054.6</v>
      </c>
      <c r="J156" s="47">
        <f t="shared" ref="J156" si="164">J155*J154</f>
        <v>18836</v>
      </c>
      <c r="K156" s="47">
        <f t="shared" ref="K156" si="165">K155*K154</f>
        <v>21567</v>
      </c>
      <c r="L156" s="47">
        <f t="shared" ref="L156" si="166">L155*L154</f>
        <v>17120</v>
      </c>
      <c r="M156" s="47">
        <f t="shared" ref="M156" si="167">M155*M154</f>
        <v>19570</v>
      </c>
      <c r="N156" s="47">
        <f t="shared" ref="N156" si="168">N155*N154</f>
        <v>21935</v>
      </c>
      <c r="O156" s="47">
        <f t="shared" ref="O156:V156" si="169">O155*O154</f>
        <v>19188</v>
      </c>
      <c r="P156" s="47">
        <f t="shared" si="169"/>
        <v>21720</v>
      </c>
      <c r="Q156" s="47">
        <f t="shared" si="169"/>
        <v>0</v>
      </c>
      <c r="R156" s="47">
        <f t="shared" si="169"/>
        <v>0</v>
      </c>
      <c r="S156" s="47">
        <f t="shared" si="169"/>
        <v>0</v>
      </c>
      <c r="T156" s="47">
        <f t="shared" si="169"/>
        <v>0</v>
      </c>
      <c r="U156" s="47">
        <f t="shared" si="169"/>
        <v>0</v>
      </c>
      <c r="V156" s="47">
        <f t="shared" si="169"/>
        <v>0</v>
      </c>
      <c r="W156" s="47">
        <f t="shared" ref="W156:X156" si="170">W155*W154</f>
        <v>19707.900000000001</v>
      </c>
      <c r="X156" s="47">
        <f t="shared" si="170"/>
        <v>19707.900000000001</v>
      </c>
      <c r="Y156" s="74"/>
      <c r="Z156" s="285"/>
      <c r="AM156" s="90"/>
      <c r="AN156" s="90"/>
      <c r="AO156" s="90"/>
      <c r="AP156" s="90"/>
      <c r="AQ156" s="90"/>
      <c r="AR156" s="90"/>
      <c r="AS156" s="74"/>
      <c r="AT156" s="74"/>
      <c r="AU156" s="74"/>
      <c r="AV156" s="509"/>
      <c r="AW156" s="232"/>
      <c r="AX156" s="90"/>
      <c r="AY156" s="90"/>
      <c r="AZ156" s="90"/>
      <c r="BA156" s="90"/>
      <c r="BB156" s="90"/>
      <c r="BC156" s="90"/>
      <c r="BD156" s="90"/>
      <c r="BE156" s="90"/>
      <c r="BF156" s="90"/>
      <c r="BG156" s="90"/>
      <c r="BH156" s="90"/>
      <c r="BI156" s="90"/>
      <c r="BJ156" s="90"/>
      <c r="BK156" s="90"/>
      <c r="BL156" s="90"/>
      <c r="BM156" s="90"/>
      <c r="BN156" s="90"/>
      <c r="BO156" s="90"/>
      <c r="BP156" s="90"/>
      <c r="BQ156" s="90"/>
      <c r="BR156" s="90"/>
    </row>
    <row r="157" spans="1:70" x14ac:dyDescent="0.3">
      <c r="A157" s="22"/>
      <c r="B157" s="49" t="s">
        <v>34</v>
      </c>
      <c r="C157" s="14">
        <f t="shared" ref="C157:P157" si="171">C15</f>
        <v>2.961843447252289</v>
      </c>
      <c r="D157" s="48">
        <f t="shared" si="171"/>
        <v>2.7464889045158847</v>
      </c>
      <c r="E157" s="48">
        <f t="shared" si="171"/>
        <v>2.6065872821104388</v>
      </c>
      <c r="F157" s="48">
        <f t="shared" si="171"/>
        <v>2.8657318420326963</v>
      </c>
      <c r="G157" s="48">
        <f t="shared" si="171"/>
        <v>2.8227356555709617</v>
      </c>
      <c r="H157" s="48">
        <f t="shared" si="171"/>
        <v>2.6308870924058652</v>
      </c>
      <c r="I157" s="48">
        <f t="shared" si="171"/>
        <v>2.5936580291437754</v>
      </c>
      <c r="J157" s="48">
        <f t="shared" si="171"/>
        <v>2.7068107488384783</v>
      </c>
      <c r="K157" s="48">
        <f t="shared" si="171"/>
        <v>2.6412683096828165</v>
      </c>
      <c r="L157" s="48">
        <f t="shared" si="171"/>
        <v>2.5767423660726134</v>
      </c>
      <c r="M157" s="48">
        <f t="shared" si="171"/>
        <v>2.7287667923503345</v>
      </c>
      <c r="N157" s="48">
        <f t="shared" si="171"/>
        <v>2.9686950258447369</v>
      </c>
      <c r="O157" s="48">
        <f t="shared" si="171"/>
        <v>2.439670312898008</v>
      </c>
      <c r="P157" s="48">
        <f t="shared" si="171"/>
        <v>2.4472115237857568</v>
      </c>
      <c r="Q157" s="49">
        <f>$O$157+(2/8)*($W$157-$O$157)</f>
        <v>2.4547527346735061</v>
      </c>
      <c r="R157" s="49">
        <f>$O$157+(3/8)*($W$157-$O$157)</f>
        <v>2.4622939455612549</v>
      </c>
      <c r="S157" s="49">
        <f>$O$157+(4/8)*($W$157-$O$157)</f>
        <v>2.4698351564490038</v>
      </c>
      <c r="T157" s="49">
        <f>$O$157+(5/8)*($W$157-$O$157)</f>
        <v>2.477376367336753</v>
      </c>
      <c r="U157" s="49">
        <f>$O$157+(6/8)*($W$157-$O$157)</f>
        <v>2.4849175782245019</v>
      </c>
      <c r="V157" s="49">
        <f>$O$157+(7/8)*($W$157-$O$157)</f>
        <v>2.4924587891122512</v>
      </c>
      <c r="W157" s="48">
        <f>W15</f>
        <v>2.5</v>
      </c>
      <c r="X157" s="190">
        <f>X15</f>
        <v>2.625</v>
      </c>
      <c r="Y157" s="57"/>
      <c r="Z157" s="57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M157" s="90"/>
      <c r="AN157" s="90"/>
      <c r="AO157" s="90"/>
      <c r="AP157" s="90"/>
      <c r="AQ157" s="90"/>
      <c r="AR157" s="90"/>
      <c r="AS157" s="157"/>
      <c r="AT157" s="90"/>
      <c r="AU157" s="90"/>
      <c r="AV157" s="90"/>
      <c r="AW157" s="90"/>
      <c r="AX157" s="90"/>
      <c r="AY157" s="90"/>
      <c r="AZ157" s="90"/>
      <c r="BA157" s="90"/>
      <c r="BB157" s="90"/>
      <c r="BC157" s="90"/>
      <c r="BD157" s="90"/>
      <c r="BE157" s="90"/>
      <c r="BF157" s="90"/>
      <c r="BG157" s="90"/>
      <c r="BH157" s="90"/>
      <c r="BI157" s="90"/>
      <c r="BJ157" s="90"/>
      <c r="BK157" s="90"/>
      <c r="BL157" s="90"/>
      <c r="BM157" s="90"/>
      <c r="BN157" s="90"/>
      <c r="BO157" s="90"/>
      <c r="BP157" s="90"/>
      <c r="BQ157" s="90"/>
      <c r="BR157" s="90"/>
    </row>
    <row r="158" spans="1:70" x14ac:dyDescent="0.3">
      <c r="A158" s="24"/>
      <c r="B158" s="47" t="s">
        <v>297</v>
      </c>
      <c r="C158" s="16">
        <f t="shared" ref="C158:O158" si="172">C157*C66/1000</f>
        <v>22445.08066706673</v>
      </c>
      <c r="D158" s="47">
        <f t="shared" si="172"/>
        <v>20967.308764099969</v>
      </c>
      <c r="E158" s="47">
        <f t="shared" si="172"/>
        <v>20058.377274882303</v>
      </c>
      <c r="F158" s="47">
        <f t="shared" si="172"/>
        <v>22231.187009093635</v>
      </c>
      <c r="G158" s="47">
        <f t="shared" si="172"/>
        <v>22076.519589208201</v>
      </c>
      <c r="H158" s="47">
        <f t="shared" si="172"/>
        <v>20725.333986071502</v>
      </c>
      <c r="I158" s="47">
        <f t="shared" si="172"/>
        <v>20533.702720690035</v>
      </c>
      <c r="J158" s="47">
        <f t="shared" si="172"/>
        <v>21514.50868645314</v>
      </c>
      <c r="K158" s="47">
        <f t="shared" si="172"/>
        <v>21115.511209758581</v>
      </c>
      <c r="L158" s="47">
        <f t="shared" si="172"/>
        <v>20724.573938810601</v>
      </c>
      <c r="M158" s="47">
        <f t="shared" si="172"/>
        <v>22044.757304554616</v>
      </c>
      <c r="N158" s="47">
        <f t="shared" si="172"/>
        <v>24087.715351066792</v>
      </c>
      <c r="O158" s="47">
        <f t="shared" si="172"/>
        <v>19898.904983088498</v>
      </c>
      <c r="P158" s="47">
        <f t="shared" ref="P158:V158" si="173">P157*P66/1000</f>
        <v>20060.588204217082</v>
      </c>
      <c r="Q158" s="47">
        <f t="shared" si="173"/>
        <v>0</v>
      </c>
      <c r="R158" s="47">
        <f t="shared" si="173"/>
        <v>0</v>
      </c>
      <c r="S158" s="47">
        <f t="shared" si="173"/>
        <v>0</v>
      </c>
      <c r="T158" s="47">
        <f t="shared" si="173"/>
        <v>0</v>
      </c>
      <c r="U158" s="47">
        <f t="shared" si="173"/>
        <v>0</v>
      </c>
      <c r="V158" s="47">
        <f t="shared" si="173"/>
        <v>0</v>
      </c>
      <c r="W158" s="47">
        <f>W157*W66/1000</f>
        <v>20919.5</v>
      </c>
      <c r="X158" s="47">
        <f>X157*X66/1000</f>
        <v>21965.474999999999</v>
      </c>
      <c r="Y158" s="74"/>
      <c r="Z158" s="74"/>
      <c r="AM158" s="90"/>
      <c r="AN158" s="90"/>
      <c r="AO158" s="90"/>
      <c r="AP158" s="90"/>
      <c r="AQ158" s="90"/>
      <c r="AR158" s="90"/>
      <c r="AS158" s="157"/>
      <c r="AT158" s="90"/>
      <c r="AU158" s="90"/>
      <c r="AV158" s="90"/>
      <c r="AW158" s="90"/>
      <c r="AX158" s="90"/>
      <c r="AY158" s="90"/>
      <c r="AZ158" s="90"/>
      <c r="BA158" s="90"/>
      <c r="BB158" s="90"/>
      <c r="BC158" s="90"/>
      <c r="BD158" s="90"/>
      <c r="BE158" s="90"/>
      <c r="BF158" s="90"/>
      <c r="BG158" s="90"/>
      <c r="BH158" s="90"/>
      <c r="BI158" s="90"/>
      <c r="BJ158" s="90"/>
      <c r="BK158" s="90"/>
      <c r="BL158" s="90"/>
      <c r="BM158" s="90"/>
      <c r="BN158" s="90"/>
      <c r="BO158" s="90"/>
      <c r="BP158" s="90"/>
      <c r="BQ158" s="90"/>
      <c r="BR158" s="90"/>
    </row>
    <row r="159" spans="1:70" x14ac:dyDescent="0.3">
      <c r="A159" s="24"/>
      <c r="B159" s="181" t="s">
        <v>298</v>
      </c>
      <c r="C159" s="205">
        <f t="shared" ref="C159:O159" si="174">(C156-C158)/C155</f>
        <v>-66.096774839726606</v>
      </c>
      <c r="D159" s="181">
        <f t="shared" si="174"/>
        <v>24.236174888587716</v>
      </c>
      <c r="E159" s="181">
        <f t="shared" si="174"/>
        <v>59.355098548087227</v>
      </c>
      <c r="F159" s="181">
        <f t="shared" si="174"/>
        <v>-31.982877348984314</v>
      </c>
      <c r="G159" s="181">
        <f t="shared" si="174"/>
        <v>1.9650902325872541</v>
      </c>
      <c r="H159" s="181">
        <f t="shared" si="174"/>
        <v>63.262965174082787</v>
      </c>
      <c r="I159" s="181">
        <f t="shared" si="174"/>
        <v>13.780351304496397</v>
      </c>
      <c r="J159" s="181">
        <f t="shared" si="174"/>
        <v>-78.779667248621777</v>
      </c>
      <c r="K159" s="181">
        <f t="shared" si="174"/>
        <v>11.57663564721588</v>
      </c>
      <c r="L159" s="181">
        <f t="shared" si="174"/>
        <v>-112.64293558783129</v>
      </c>
      <c r="M159" s="181">
        <f t="shared" si="174"/>
        <v>-65.125192225121467</v>
      </c>
      <c r="N159" s="181">
        <f t="shared" si="174"/>
        <v>-52.505252465043711</v>
      </c>
      <c r="O159" s="181">
        <f t="shared" si="174"/>
        <v>-19.747360641347161</v>
      </c>
      <c r="P159" s="181">
        <f t="shared" ref="P159:V159" si="175">(P156-P158)/P155</f>
        <v>41.485294894572959</v>
      </c>
      <c r="Q159" s="181" t="e">
        <f t="shared" si="175"/>
        <v>#DIV/0!</v>
      </c>
      <c r="R159" s="181" t="e">
        <f t="shared" si="175"/>
        <v>#DIV/0!</v>
      </c>
      <c r="S159" s="181" t="e">
        <f t="shared" si="175"/>
        <v>#DIV/0!</v>
      </c>
      <c r="T159" s="181" t="e">
        <f t="shared" si="175"/>
        <v>#DIV/0!</v>
      </c>
      <c r="U159" s="181" t="e">
        <f t="shared" si="175"/>
        <v>#DIV/0!</v>
      </c>
      <c r="V159" s="181" t="e">
        <f t="shared" si="175"/>
        <v>#DIV/0!</v>
      </c>
      <c r="W159" s="181">
        <f>(W156-W158)/W155</f>
        <v>-33.013623978201593</v>
      </c>
      <c r="X159" s="181">
        <f>(X156-X158)/X155</f>
        <v>-61.51430517711163</v>
      </c>
      <c r="Y159" s="303"/>
      <c r="Z159" s="303"/>
      <c r="AM159" s="90"/>
      <c r="AN159" s="90"/>
      <c r="AO159" s="90"/>
      <c r="AP159" s="90"/>
      <c r="AQ159" s="90"/>
      <c r="AR159" s="90"/>
      <c r="AS159" s="157"/>
      <c r="AT159" s="90"/>
      <c r="AU159" s="90"/>
      <c r="AV159" s="90"/>
      <c r="AW159" s="90"/>
      <c r="AX159" s="90"/>
      <c r="AY159" s="90"/>
      <c r="AZ159" s="90"/>
      <c r="BA159" s="90"/>
      <c r="BB159" s="90"/>
      <c r="BC159" s="90"/>
      <c r="BD159" s="90"/>
      <c r="BE159" s="90"/>
      <c r="BF159" s="90"/>
      <c r="BG159" s="90"/>
      <c r="BH159" s="90"/>
      <c r="BI159" s="90"/>
      <c r="BJ159" s="90"/>
      <c r="BK159" s="90"/>
      <c r="BL159" s="90"/>
      <c r="BM159" s="90"/>
      <c r="BN159" s="90"/>
      <c r="BO159" s="90"/>
      <c r="BP159" s="90"/>
      <c r="BQ159" s="90"/>
      <c r="BR159" s="90"/>
    </row>
    <row r="160" spans="1:70" x14ac:dyDescent="0.3">
      <c r="A160" s="171"/>
      <c r="B160" s="70" t="s">
        <v>392</v>
      </c>
      <c r="C160" s="418">
        <v>329</v>
      </c>
      <c r="D160" s="244">
        <v>331</v>
      </c>
      <c r="E160" s="244">
        <v>331</v>
      </c>
      <c r="F160" s="244">
        <v>335</v>
      </c>
      <c r="G160" s="244">
        <v>336</v>
      </c>
      <c r="H160" s="244">
        <v>340</v>
      </c>
      <c r="I160" s="244">
        <v>387</v>
      </c>
      <c r="J160" s="244">
        <v>391</v>
      </c>
      <c r="K160" s="244">
        <v>402</v>
      </c>
      <c r="L160" s="244">
        <v>418</v>
      </c>
      <c r="M160" s="244">
        <v>430</v>
      </c>
      <c r="N160" s="244">
        <v>430</v>
      </c>
      <c r="O160" s="244">
        <v>423</v>
      </c>
      <c r="P160" s="244">
        <v>444</v>
      </c>
      <c r="Q160" s="244"/>
      <c r="R160" s="244"/>
      <c r="S160" s="244"/>
      <c r="T160" s="244"/>
      <c r="U160" s="244"/>
      <c r="V160" s="244"/>
      <c r="W160" s="247">
        <f>AVERAGE(N160:P160)</f>
        <v>432.33333333333331</v>
      </c>
      <c r="X160" s="54">
        <f>W160</f>
        <v>432.33333333333331</v>
      </c>
      <c r="Y160" s="303"/>
      <c r="Z160" s="303"/>
      <c r="AM160" s="90"/>
      <c r="AN160" s="90"/>
      <c r="AO160" s="90"/>
      <c r="AP160" s="90"/>
      <c r="AQ160" s="90"/>
      <c r="AR160" s="90"/>
      <c r="AS160" s="157"/>
      <c r="AT160" s="90"/>
      <c r="AU160" s="90"/>
      <c r="AV160" s="90"/>
      <c r="AW160" s="90"/>
      <c r="AX160" s="90"/>
      <c r="AY160" s="90"/>
      <c r="AZ160" s="90"/>
      <c r="BA160" s="90"/>
      <c r="BB160" s="90"/>
      <c r="BC160" s="90"/>
      <c r="BD160" s="90"/>
      <c r="BE160" s="90"/>
      <c r="BF160" s="90"/>
      <c r="BG160" s="90"/>
      <c r="BH160" s="90"/>
      <c r="BI160" s="90"/>
      <c r="BJ160" s="90"/>
      <c r="BK160" s="90"/>
      <c r="BL160" s="90"/>
      <c r="BM160" s="90"/>
      <c r="BN160" s="90"/>
      <c r="BO160" s="90"/>
      <c r="BP160" s="90"/>
      <c r="BQ160" s="90"/>
      <c r="BR160" s="90"/>
    </row>
    <row r="161" spans="1:70" x14ac:dyDescent="0.3">
      <c r="A161" s="22"/>
      <c r="B161" s="47" t="s">
        <v>139</v>
      </c>
      <c r="C161" s="16">
        <f t="shared" ref="C161:V161" si="176">C160*$F$56</f>
        <v>329</v>
      </c>
      <c r="D161" s="47">
        <f t="shared" si="176"/>
        <v>331</v>
      </c>
      <c r="E161" s="47">
        <f t="shared" si="176"/>
        <v>331</v>
      </c>
      <c r="F161" s="47">
        <f t="shared" si="176"/>
        <v>335</v>
      </c>
      <c r="G161" s="47">
        <f t="shared" si="176"/>
        <v>336</v>
      </c>
      <c r="H161" s="47">
        <f t="shared" si="176"/>
        <v>340</v>
      </c>
      <c r="I161" s="47">
        <f t="shared" si="176"/>
        <v>387</v>
      </c>
      <c r="J161" s="47">
        <f t="shared" si="176"/>
        <v>391</v>
      </c>
      <c r="K161" s="47">
        <f t="shared" si="176"/>
        <v>402</v>
      </c>
      <c r="L161" s="47">
        <f t="shared" si="176"/>
        <v>418</v>
      </c>
      <c r="M161" s="47">
        <f t="shared" si="176"/>
        <v>430</v>
      </c>
      <c r="N161" s="47">
        <f t="shared" si="176"/>
        <v>430</v>
      </c>
      <c r="O161" s="47">
        <f t="shared" si="176"/>
        <v>423</v>
      </c>
      <c r="P161" s="47">
        <f t="shared" si="176"/>
        <v>444</v>
      </c>
      <c r="Q161" s="47">
        <f t="shared" si="176"/>
        <v>0</v>
      </c>
      <c r="R161" s="47">
        <f t="shared" si="176"/>
        <v>0</v>
      </c>
      <c r="S161" s="47">
        <f t="shared" si="176"/>
        <v>0</v>
      </c>
      <c r="T161" s="47">
        <f t="shared" si="176"/>
        <v>0</v>
      </c>
      <c r="U161" s="47">
        <f t="shared" si="176"/>
        <v>0</v>
      </c>
      <c r="V161" s="47">
        <f t="shared" si="176"/>
        <v>0</v>
      </c>
      <c r="W161" s="47">
        <f>AVERAGE(N161:P161)</f>
        <v>432.33333333333331</v>
      </c>
      <c r="X161" s="47">
        <f>W161</f>
        <v>432.33333333333331</v>
      </c>
      <c r="Y161" s="74"/>
      <c r="Z161" s="74"/>
      <c r="AM161" s="90"/>
      <c r="AN161" s="90"/>
      <c r="AO161" s="90"/>
      <c r="AP161" s="90"/>
      <c r="AQ161" s="90"/>
      <c r="AR161" s="90"/>
      <c r="AS161" s="157"/>
      <c r="AT161" s="90"/>
      <c r="AU161" s="90"/>
      <c r="AV161" s="90"/>
      <c r="AW161" s="90"/>
      <c r="AX161" s="90"/>
      <c r="AY161" s="90"/>
      <c r="AZ161" s="90"/>
      <c r="BA161" s="90"/>
      <c r="BB161" s="90"/>
      <c r="BC161" s="90"/>
      <c r="BD161" s="90"/>
      <c r="BE161" s="90"/>
      <c r="BF161" s="90"/>
      <c r="BG161" s="90"/>
      <c r="BH161" s="90"/>
      <c r="BI161" s="90"/>
      <c r="BJ161" s="90"/>
      <c r="BK161" s="90"/>
      <c r="BL161" s="90"/>
      <c r="BM161" s="90"/>
      <c r="BN161" s="90"/>
      <c r="BO161" s="90"/>
      <c r="BP161" s="90"/>
      <c r="BQ161" s="90"/>
      <c r="BR161" s="90"/>
    </row>
    <row r="162" spans="1:70" x14ac:dyDescent="0.3">
      <c r="A162" s="22"/>
      <c r="B162" s="48" t="s">
        <v>2</v>
      </c>
      <c r="C162" s="56">
        <v>44</v>
      </c>
      <c r="D162" s="57">
        <v>44</v>
      </c>
      <c r="E162" s="57">
        <v>52.3</v>
      </c>
      <c r="F162" s="57">
        <v>49.3</v>
      </c>
      <c r="G162" s="57">
        <v>44</v>
      </c>
      <c r="H162" s="57">
        <v>39.299999999999997</v>
      </c>
      <c r="I162" s="57">
        <v>40.1</v>
      </c>
      <c r="J162" s="57">
        <v>34.6</v>
      </c>
      <c r="K162" s="57">
        <v>34.700000000000003</v>
      </c>
      <c r="L162" s="57">
        <v>35.799999999999997</v>
      </c>
      <c r="M162" s="57">
        <v>38</v>
      </c>
      <c r="N162" s="57">
        <v>37.5</v>
      </c>
      <c r="O162" s="57">
        <v>37.6</v>
      </c>
      <c r="P162" s="57">
        <v>36.1</v>
      </c>
      <c r="Q162" s="57"/>
      <c r="R162" s="57"/>
      <c r="S162" s="57"/>
      <c r="T162" s="57"/>
      <c r="U162" s="57"/>
      <c r="V162" s="57"/>
      <c r="W162" s="57">
        <v>36.299999999999997</v>
      </c>
      <c r="X162" s="48">
        <f>W162*(1+'Hypothèses production'!B5)</f>
        <v>36.299999999999997</v>
      </c>
      <c r="Y162" s="57"/>
      <c r="Z162" s="57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M162" s="90"/>
      <c r="AN162" s="90"/>
      <c r="AO162" s="90"/>
      <c r="AP162" s="90"/>
      <c r="AQ162" s="90"/>
      <c r="AR162" s="90"/>
      <c r="AS162" s="157"/>
      <c r="AT162" s="90"/>
      <c r="AU162" s="90"/>
      <c r="AV162" s="90"/>
      <c r="AW162" s="90"/>
      <c r="AX162" s="90"/>
      <c r="AY162" s="90"/>
      <c r="AZ162" s="90"/>
      <c r="BA162" s="90"/>
      <c r="BB162" s="90"/>
      <c r="BC162" s="90"/>
      <c r="BD162" s="90"/>
      <c r="BE162" s="90"/>
      <c r="BF162" s="90"/>
      <c r="BG162" s="90"/>
      <c r="BH162" s="90"/>
      <c r="BI162" s="90"/>
      <c r="BJ162" s="90"/>
      <c r="BK162" s="90"/>
      <c r="BL162" s="90"/>
      <c r="BM162" s="90"/>
      <c r="BN162" s="90"/>
      <c r="BO162" s="90"/>
      <c r="BP162" s="90"/>
      <c r="BQ162" s="90"/>
      <c r="BR162" s="90"/>
    </row>
    <row r="163" spans="1:70" x14ac:dyDescent="0.3">
      <c r="A163" s="22" t="s">
        <v>135</v>
      </c>
      <c r="B163" s="47" t="s">
        <v>138</v>
      </c>
      <c r="C163" s="16">
        <f>C162*C161</f>
        <v>14476</v>
      </c>
      <c r="D163" s="47">
        <f t="shared" ref="D163:V163" si="177">D162*D161</f>
        <v>14564</v>
      </c>
      <c r="E163" s="47">
        <f t="shared" si="177"/>
        <v>17311.3</v>
      </c>
      <c r="F163" s="47">
        <f t="shared" si="177"/>
        <v>16515.5</v>
      </c>
      <c r="G163" s="47">
        <f t="shared" si="177"/>
        <v>14784</v>
      </c>
      <c r="H163" s="47">
        <f t="shared" si="177"/>
        <v>13361.999999999998</v>
      </c>
      <c r="I163" s="47">
        <f t="shared" si="177"/>
        <v>15518.7</v>
      </c>
      <c r="J163" s="47">
        <f t="shared" si="177"/>
        <v>13528.6</v>
      </c>
      <c r="K163" s="47">
        <f t="shared" si="177"/>
        <v>13949.400000000001</v>
      </c>
      <c r="L163" s="47">
        <f t="shared" si="177"/>
        <v>14964.4</v>
      </c>
      <c r="M163" s="47">
        <f t="shared" si="177"/>
        <v>16340</v>
      </c>
      <c r="N163" s="47">
        <f t="shared" si="177"/>
        <v>16125</v>
      </c>
      <c r="O163" s="47">
        <f t="shared" si="177"/>
        <v>15904.800000000001</v>
      </c>
      <c r="P163" s="47">
        <f t="shared" si="177"/>
        <v>16028.400000000001</v>
      </c>
      <c r="Q163" s="47">
        <f t="shared" si="177"/>
        <v>0</v>
      </c>
      <c r="R163" s="47">
        <f t="shared" si="177"/>
        <v>0</v>
      </c>
      <c r="S163" s="47">
        <f t="shared" si="177"/>
        <v>0</v>
      </c>
      <c r="T163" s="47">
        <f t="shared" si="177"/>
        <v>0</v>
      </c>
      <c r="U163" s="47">
        <f t="shared" si="177"/>
        <v>0</v>
      </c>
      <c r="V163" s="47">
        <f t="shared" si="177"/>
        <v>0</v>
      </c>
      <c r="W163" s="47">
        <f t="shared" ref="W163:X163" si="178">W162*W161</f>
        <v>15693.699999999999</v>
      </c>
      <c r="X163" s="47">
        <f t="shared" si="178"/>
        <v>15693.699999999999</v>
      </c>
      <c r="Y163" s="74"/>
      <c r="Z163" s="285"/>
      <c r="AM163" s="90"/>
      <c r="AN163" s="90"/>
      <c r="AO163" s="90"/>
      <c r="AP163" s="90"/>
      <c r="AQ163" s="90"/>
      <c r="AR163" s="90"/>
      <c r="AS163" s="74"/>
      <c r="AT163" s="74"/>
      <c r="AU163" s="74"/>
      <c r="AV163" s="509"/>
      <c r="AW163" s="232"/>
      <c r="AX163" s="90"/>
      <c r="AY163" s="90"/>
      <c r="AZ163" s="90"/>
      <c r="BA163" s="90"/>
      <c r="BB163" s="90"/>
      <c r="BC163" s="90"/>
      <c r="BD163" s="90"/>
      <c r="BE163" s="90"/>
      <c r="BF163" s="90"/>
      <c r="BG163" s="90"/>
      <c r="BH163" s="90"/>
      <c r="BI163" s="90"/>
      <c r="BJ163" s="90"/>
      <c r="BK163" s="90"/>
      <c r="BL163" s="90"/>
      <c r="BM163" s="90"/>
      <c r="BN163" s="90"/>
      <c r="BO163" s="90"/>
      <c r="BP163" s="90"/>
      <c r="BQ163" s="90"/>
      <c r="BR163" s="90"/>
    </row>
    <row r="164" spans="1:70" x14ac:dyDescent="0.3">
      <c r="A164" s="22"/>
      <c r="B164" s="49" t="s">
        <v>34</v>
      </c>
      <c r="C164" s="14">
        <f t="shared" ref="C164:P164" si="179">C16</f>
        <v>10.524295814394705</v>
      </c>
      <c r="D164" s="48">
        <f t="shared" si="179"/>
        <v>10.038470695514201</v>
      </c>
      <c r="E164" s="48">
        <f t="shared" si="179"/>
        <v>9.2499253384220346</v>
      </c>
      <c r="F164" s="48">
        <f t="shared" si="179"/>
        <v>9.4780696338880421</v>
      </c>
      <c r="G164" s="48">
        <f t="shared" si="179"/>
        <v>9.6024770928974501</v>
      </c>
      <c r="H164" s="48">
        <f t="shared" si="179"/>
        <v>9.5050948105312685</v>
      </c>
      <c r="I164" s="48">
        <f t="shared" si="179"/>
        <v>9.4341026275162729</v>
      </c>
      <c r="J164" s="48">
        <f t="shared" si="179"/>
        <v>10.443820463990443</v>
      </c>
      <c r="K164" s="48">
        <f t="shared" si="179"/>
        <v>10.186572745308871</v>
      </c>
      <c r="L164" s="48">
        <f t="shared" si="179"/>
        <v>10.623501308083377</v>
      </c>
      <c r="M164" s="48">
        <f t="shared" si="179"/>
        <v>11.231241023899283</v>
      </c>
      <c r="N164" s="48">
        <f t="shared" si="179"/>
        <v>12.18154958140507</v>
      </c>
      <c r="O164" s="48">
        <f t="shared" si="179"/>
        <v>10.520391618425846</v>
      </c>
      <c r="P164" s="48">
        <f t="shared" si="179"/>
        <v>10.630342666122615</v>
      </c>
      <c r="Q164" s="49">
        <f>$O$164+(2/8)*($W$164-$O$164)</f>
        <v>10.740293713819383</v>
      </c>
      <c r="R164" s="49">
        <f>$O$164+(3/8)*($W$164-$O$164)</f>
        <v>10.850244761516153</v>
      </c>
      <c r="S164" s="49">
        <f>$O$164+(4/8)*($W$164-$O$164)</f>
        <v>10.960195809212923</v>
      </c>
      <c r="T164" s="49">
        <f>$O$164+(5/8)*($W$164-$O$164)</f>
        <v>11.070146856909693</v>
      </c>
      <c r="U164" s="49">
        <f>$O$164+(6/8)*($W$164-$O$164)</f>
        <v>11.180097904606463</v>
      </c>
      <c r="V164" s="49">
        <f>$O$164+(7/8)*($W$164-$O$164)</f>
        <v>11.290048952303231</v>
      </c>
      <c r="W164" s="48">
        <f>W16</f>
        <v>11.4</v>
      </c>
      <c r="X164" s="190">
        <f>X16</f>
        <v>11.97</v>
      </c>
      <c r="Y164" s="57"/>
      <c r="Z164" s="57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M164" s="90"/>
      <c r="AN164" s="90"/>
      <c r="AO164" s="90"/>
      <c r="AP164" s="90"/>
      <c r="AQ164" s="90"/>
      <c r="AR164" s="90"/>
      <c r="AS164" s="157"/>
      <c r="AT164" s="90"/>
      <c r="AU164" s="90"/>
      <c r="AV164" s="90"/>
      <c r="AW164" s="90"/>
      <c r="AX164" s="90"/>
      <c r="AY164" s="90"/>
      <c r="AZ164" s="90"/>
      <c r="BA164" s="90"/>
      <c r="BB164" s="90"/>
      <c r="BC164" s="90"/>
      <c r="BD164" s="90"/>
      <c r="BE164" s="90"/>
      <c r="BF164" s="90"/>
      <c r="BG164" s="90"/>
      <c r="BH164" s="90"/>
      <c r="BI164" s="90"/>
      <c r="BJ164" s="90"/>
      <c r="BK164" s="90"/>
      <c r="BL164" s="90"/>
      <c r="BM164" s="90"/>
      <c r="BN164" s="90"/>
      <c r="BO164" s="90"/>
      <c r="BP164" s="90"/>
      <c r="BQ164" s="90"/>
      <c r="BR164" s="90"/>
    </row>
    <row r="165" spans="1:70" x14ac:dyDescent="0.3">
      <c r="A165" s="24"/>
      <c r="B165" s="47" t="s">
        <v>297</v>
      </c>
      <c r="C165" s="16">
        <f t="shared" ref="C165:O165" si="180">C164*C66/1000</f>
        <v>79753.934576556596</v>
      </c>
      <c r="D165" s="47">
        <f t="shared" si="180"/>
        <v>76635.92386852052</v>
      </c>
      <c r="E165" s="47">
        <f t="shared" si="180"/>
        <v>71180.61745944689</v>
      </c>
      <c r="F165" s="47">
        <f t="shared" si="180"/>
        <v>73527.025601501708</v>
      </c>
      <c r="G165" s="47">
        <f t="shared" si="180"/>
        <v>75100.646859329805</v>
      </c>
      <c r="H165" s="47">
        <f t="shared" si="180"/>
        <v>74878.266378732544</v>
      </c>
      <c r="I165" s="47">
        <f t="shared" si="180"/>
        <v>74688.743316654683</v>
      </c>
      <c r="J165" s="47">
        <f t="shared" si="180"/>
        <v>83010.482424269198</v>
      </c>
      <c r="K165" s="47">
        <f t="shared" si="180"/>
        <v>81436.138162889212</v>
      </c>
      <c r="L165" s="47">
        <f t="shared" si="180"/>
        <v>85444.141116830884</v>
      </c>
      <c r="M165" s="47">
        <f t="shared" si="180"/>
        <v>90733.287760206003</v>
      </c>
      <c r="N165" s="47">
        <f t="shared" si="180"/>
        <v>98839.960419409661</v>
      </c>
      <c r="O165" s="47">
        <f t="shared" si="180"/>
        <v>85808.427513004004</v>
      </c>
      <c r="P165" s="47">
        <f t="shared" ref="P165:V165" si="181">P164*P66/1000</f>
        <v>87140.373695573566</v>
      </c>
      <c r="Q165" s="47">
        <f t="shared" si="181"/>
        <v>0</v>
      </c>
      <c r="R165" s="47">
        <f t="shared" si="181"/>
        <v>0</v>
      </c>
      <c r="S165" s="47">
        <f t="shared" si="181"/>
        <v>0</v>
      </c>
      <c r="T165" s="47">
        <f t="shared" si="181"/>
        <v>0</v>
      </c>
      <c r="U165" s="47">
        <f t="shared" si="181"/>
        <v>0</v>
      </c>
      <c r="V165" s="47">
        <f t="shared" si="181"/>
        <v>0</v>
      </c>
      <c r="W165" s="47">
        <f>W164*W66/1000</f>
        <v>95392.92</v>
      </c>
      <c r="X165" s="47">
        <f>X164*X66/1000</f>
        <v>100162.56600000001</v>
      </c>
      <c r="Y165" s="74"/>
      <c r="Z165" s="74"/>
      <c r="AM165" s="90"/>
      <c r="AN165" s="90"/>
      <c r="AO165" s="90"/>
      <c r="AP165" s="90"/>
      <c r="AQ165" s="90"/>
      <c r="AR165" s="90"/>
      <c r="AS165" s="157"/>
      <c r="AT165" s="90"/>
      <c r="AU165" s="90"/>
      <c r="AV165" s="90"/>
      <c r="AW165" s="90"/>
      <c r="AX165" s="90"/>
      <c r="AY165" s="90"/>
      <c r="AZ165" s="90"/>
      <c r="BA165" s="90"/>
      <c r="BB165" s="90"/>
      <c r="BC165" s="90"/>
      <c r="BD165" s="90"/>
      <c r="BE165" s="90"/>
      <c r="BF165" s="90"/>
      <c r="BG165" s="90"/>
      <c r="BH165" s="90"/>
      <c r="BI165" s="90"/>
      <c r="BJ165" s="90"/>
      <c r="BK165" s="90"/>
      <c r="BL165" s="90"/>
      <c r="BM165" s="90"/>
      <c r="BN165" s="90"/>
      <c r="BO165" s="90"/>
      <c r="BP165" s="90"/>
      <c r="BQ165" s="90"/>
      <c r="BR165" s="90"/>
    </row>
    <row r="166" spans="1:70" x14ac:dyDescent="0.3">
      <c r="A166" s="24"/>
      <c r="B166" s="181" t="s">
        <v>298</v>
      </c>
      <c r="C166" s="205">
        <f t="shared" ref="C166:O166" si="182">(C163-C165)/C162</f>
        <v>-1483.5894221944682</v>
      </c>
      <c r="D166" s="181">
        <f t="shared" si="182"/>
        <v>-1410.7255424663754</v>
      </c>
      <c r="E166" s="181">
        <f t="shared" si="182"/>
        <v>-1030.0060699703038</v>
      </c>
      <c r="F166" s="181">
        <f t="shared" si="182"/>
        <v>-1156.4203975963835</v>
      </c>
      <c r="G166" s="181">
        <f t="shared" si="182"/>
        <v>-1370.8328831665865</v>
      </c>
      <c r="H166" s="181">
        <f t="shared" si="182"/>
        <v>-1565.2993989499375</v>
      </c>
      <c r="I166" s="181">
        <f t="shared" si="182"/>
        <v>-1475.5621774726853</v>
      </c>
      <c r="J166" s="181">
        <f t="shared" si="182"/>
        <v>-2008.146890874832</v>
      </c>
      <c r="K166" s="181">
        <f t="shared" si="182"/>
        <v>-1944.8627712648183</v>
      </c>
      <c r="L166" s="181">
        <f t="shared" si="182"/>
        <v>-1968.7078524254441</v>
      </c>
      <c r="M166" s="181">
        <f t="shared" si="182"/>
        <v>-1957.7180989527897</v>
      </c>
      <c r="N166" s="181">
        <f t="shared" si="182"/>
        <v>-2205.7322778509242</v>
      </c>
      <c r="O166" s="181">
        <f t="shared" si="182"/>
        <v>-1859.1390296011703</v>
      </c>
      <c r="P166" s="181">
        <f t="shared" ref="P166:V166" si="183">(P163-P165)/P162</f>
        <v>-1969.8607671904035</v>
      </c>
      <c r="Q166" s="181" t="e">
        <f t="shared" si="183"/>
        <v>#DIV/0!</v>
      </c>
      <c r="R166" s="181" t="e">
        <f t="shared" si="183"/>
        <v>#DIV/0!</v>
      </c>
      <c r="S166" s="181" t="e">
        <f t="shared" si="183"/>
        <v>#DIV/0!</v>
      </c>
      <c r="T166" s="181" t="e">
        <f t="shared" si="183"/>
        <v>#DIV/0!</v>
      </c>
      <c r="U166" s="181" t="e">
        <f t="shared" si="183"/>
        <v>#DIV/0!</v>
      </c>
      <c r="V166" s="181" t="e">
        <f t="shared" si="183"/>
        <v>#DIV/0!</v>
      </c>
      <c r="W166" s="181">
        <f>(W163-W165)/W162</f>
        <v>-2195.5707988980716</v>
      </c>
      <c r="X166" s="181">
        <f>(X163-X165)/X162</f>
        <v>-2326.9660055096424</v>
      </c>
      <c r="Y166" s="303"/>
      <c r="Z166" s="303"/>
      <c r="AM166" s="90"/>
      <c r="AN166" s="90"/>
      <c r="AO166" s="90"/>
      <c r="AP166" s="90"/>
      <c r="AQ166" s="90"/>
      <c r="AR166" s="90"/>
      <c r="AS166" s="157"/>
      <c r="AT166" s="90"/>
      <c r="AU166" s="90"/>
      <c r="AV166" s="90"/>
      <c r="AW166" s="90"/>
      <c r="AX166" s="90"/>
      <c r="AY166" s="90"/>
      <c r="AZ166" s="90"/>
      <c r="BA166" s="90"/>
      <c r="BB166" s="90"/>
      <c r="BC166" s="90"/>
      <c r="BD166" s="90"/>
      <c r="BE166" s="90"/>
      <c r="BF166" s="90"/>
      <c r="BG166" s="90"/>
      <c r="BH166" s="90"/>
      <c r="BI166" s="90"/>
      <c r="BJ166" s="90"/>
      <c r="BK166" s="90"/>
      <c r="BL166" s="90"/>
      <c r="BM166" s="90"/>
      <c r="BN166" s="90"/>
      <c r="BO166" s="90"/>
      <c r="BP166" s="90"/>
      <c r="BQ166" s="90"/>
      <c r="BR166" s="90"/>
    </row>
    <row r="167" spans="1:70" x14ac:dyDescent="0.3">
      <c r="A167" s="362" t="s">
        <v>597</v>
      </c>
      <c r="B167" s="334"/>
      <c r="C167" s="537">
        <f t="shared" ref="C167:P167" si="184">(C121+C128+C135+C142+C149+C156+C163)/(C161+C154+C147+C140+C133+C126+C119)</f>
        <v>35.940448674371176</v>
      </c>
      <c r="D167" s="538">
        <f t="shared" si="184"/>
        <v>37.37624496373892</v>
      </c>
      <c r="E167" s="538">
        <f t="shared" si="184"/>
        <v>37.451640649888496</v>
      </c>
      <c r="F167" s="538">
        <f t="shared" si="184"/>
        <v>35.564466687519548</v>
      </c>
      <c r="G167" s="538">
        <f t="shared" si="184"/>
        <v>35.593219828235647</v>
      </c>
      <c r="H167" s="538">
        <f t="shared" si="184"/>
        <v>34.838618500604596</v>
      </c>
      <c r="I167" s="538">
        <f t="shared" si="184"/>
        <v>36.661603689378161</v>
      </c>
      <c r="J167" s="538">
        <f t="shared" si="184"/>
        <v>36.529802301563883</v>
      </c>
      <c r="K167" s="538">
        <f t="shared" si="184"/>
        <v>38.599896173242364</v>
      </c>
      <c r="L167" s="538">
        <f t="shared" si="184"/>
        <v>37.689886495925492</v>
      </c>
      <c r="M167" s="538">
        <f t="shared" si="184"/>
        <v>40.781104694209979</v>
      </c>
      <c r="N167" s="538">
        <f t="shared" si="184"/>
        <v>39.481329296424455</v>
      </c>
      <c r="O167" s="538">
        <f t="shared" si="184"/>
        <v>34.947476690839132</v>
      </c>
      <c r="P167" s="538">
        <f t="shared" si="184"/>
        <v>35.013876363636371</v>
      </c>
      <c r="Q167" s="334"/>
      <c r="R167" s="334"/>
      <c r="S167" s="334"/>
      <c r="T167" s="334"/>
      <c r="U167" s="334"/>
      <c r="V167" s="334"/>
      <c r="W167" s="538">
        <f>(W121+W128+W135+W142+W149+W156+W163)/(W161+W154+W147+W140+W133+W126+W119)</f>
        <v>37.24445740956827</v>
      </c>
      <c r="X167" s="539">
        <f>(X121+X128+X135+X142+X149+X156+X163)/(X161+X154+X147+X140+X133+X126+X119)</f>
        <v>37.24445740956827</v>
      </c>
      <c r="Y167" s="303"/>
      <c r="Z167" s="303"/>
      <c r="AM167" s="90"/>
      <c r="AN167" s="90"/>
      <c r="AO167" s="90"/>
      <c r="AP167" s="90"/>
      <c r="AQ167" s="90"/>
      <c r="AR167" s="90"/>
      <c r="AS167" s="157"/>
      <c r="AT167" s="90"/>
      <c r="AU167" s="90"/>
      <c r="AV167" s="90"/>
      <c r="AW167" s="90"/>
      <c r="AX167" s="90"/>
      <c r="AY167" s="90"/>
      <c r="AZ167" s="90"/>
      <c r="BA167" s="90"/>
      <c r="BB167" s="90"/>
      <c r="BC167" s="90"/>
      <c r="BD167" s="90"/>
      <c r="BE167" s="90"/>
      <c r="BF167" s="90"/>
      <c r="BG167" s="90"/>
      <c r="BH167" s="90"/>
      <c r="BI167" s="90"/>
      <c r="BJ167" s="90"/>
      <c r="BK167" s="90"/>
      <c r="BL167" s="90"/>
      <c r="BM167" s="90"/>
      <c r="BN167" s="90"/>
      <c r="BO167" s="90"/>
      <c r="BP167" s="90"/>
      <c r="BQ167" s="90"/>
      <c r="BR167" s="90"/>
    </row>
    <row r="168" spans="1:70" x14ac:dyDescent="0.3">
      <c r="A168" s="171"/>
      <c r="B168" s="70" t="s">
        <v>392</v>
      </c>
      <c r="C168" s="540">
        <v>7553</v>
      </c>
      <c r="D168" s="124">
        <v>7152</v>
      </c>
      <c r="E168" s="124">
        <v>6770</v>
      </c>
      <c r="F168" s="124">
        <v>6408</v>
      </c>
      <c r="G168" s="124">
        <v>6395</v>
      </c>
      <c r="H168" s="124">
        <v>6192</v>
      </c>
      <c r="I168" s="124">
        <v>6230</v>
      </c>
      <c r="J168" s="124">
        <v>6217</v>
      </c>
      <c r="K168" s="124">
        <v>6204</v>
      </c>
      <c r="L168" s="124">
        <v>6191</v>
      </c>
      <c r="M168" s="124">
        <v>6129</v>
      </c>
      <c r="N168" s="124">
        <v>6129</v>
      </c>
      <c r="O168" s="124">
        <v>5802</v>
      </c>
      <c r="P168" s="124">
        <v>5502</v>
      </c>
      <c r="Q168" s="124"/>
      <c r="R168" s="124"/>
      <c r="S168" s="124"/>
      <c r="T168" s="124"/>
      <c r="U168" s="124"/>
      <c r="V168" s="124"/>
      <c r="W168" s="53">
        <f>AVERAGE(N168:P168)</f>
        <v>5811</v>
      </c>
      <c r="X168" s="47">
        <f>W168</f>
        <v>5811</v>
      </c>
      <c r="Y168" s="303"/>
      <c r="Z168" s="303"/>
      <c r="AM168" s="90"/>
      <c r="AN168" s="90"/>
      <c r="AO168" s="90"/>
      <c r="AP168" s="90"/>
      <c r="AQ168" s="90"/>
      <c r="AR168" s="90"/>
      <c r="AS168" s="157"/>
      <c r="AT168" s="90"/>
      <c r="AU168" s="90"/>
      <c r="AV168" s="90"/>
      <c r="AW168" s="90"/>
      <c r="AX168" s="90"/>
      <c r="AY168" s="90"/>
      <c r="AZ168" s="90"/>
      <c r="BA168" s="90"/>
      <c r="BB168" s="90"/>
      <c r="BC168" s="90"/>
      <c r="BD168" s="90"/>
      <c r="BE168" s="90"/>
      <c r="BF168" s="90"/>
      <c r="BG168" s="90"/>
      <c r="BH168" s="90"/>
      <c r="BI168" s="90"/>
      <c r="BJ168" s="90"/>
      <c r="BK168" s="90"/>
      <c r="BL168" s="90"/>
      <c r="BM168" s="90"/>
      <c r="BN168" s="90"/>
      <c r="BO168" s="90"/>
      <c r="BP168" s="90"/>
      <c r="BQ168" s="90"/>
      <c r="BR168" s="90"/>
    </row>
    <row r="169" spans="1:70" s="3" customFormat="1" x14ac:dyDescent="0.3">
      <c r="A169" s="16"/>
      <c r="B169" s="47" t="s">
        <v>139</v>
      </c>
      <c r="C169" s="16">
        <f t="shared" ref="C169:V169" si="185">C168*$F$57</f>
        <v>7553</v>
      </c>
      <c r="D169" s="47">
        <f t="shared" si="185"/>
        <v>7152</v>
      </c>
      <c r="E169" s="47">
        <f t="shared" si="185"/>
        <v>6770</v>
      </c>
      <c r="F169" s="47">
        <f t="shared" si="185"/>
        <v>6408</v>
      </c>
      <c r="G169" s="47">
        <f t="shared" si="185"/>
        <v>6395</v>
      </c>
      <c r="H169" s="47">
        <f t="shared" si="185"/>
        <v>6192</v>
      </c>
      <c r="I169" s="47">
        <f t="shared" si="185"/>
        <v>6230</v>
      </c>
      <c r="J169" s="47">
        <f t="shared" si="185"/>
        <v>6217</v>
      </c>
      <c r="K169" s="47">
        <f t="shared" si="185"/>
        <v>6204</v>
      </c>
      <c r="L169" s="47">
        <f t="shared" si="185"/>
        <v>6191</v>
      </c>
      <c r="M169" s="47">
        <f t="shared" si="185"/>
        <v>6129</v>
      </c>
      <c r="N169" s="47">
        <f t="shared" si="185"/>
        <v>6129</v>
      </c>
      <c r="O169" s="47">
        <f t="shared" si="185"/>
        <v>5802</v>
      </c>
      <c r="P169" s="47">
        <f t="shared" si="185"/>
        <v>5502</v>
      </c>
      <c r="Q169" s="47">
        <f t="shared" si="185"/>
        <v>0</v>
      </c>
      <c r="R169" s="47">
        <f t="shared" si="185"/>
        <v>0</v>
      </c>
      <c r="S169" s="47">
        <f t="shared" si="185"/>
        <v>0</v>
      </c>
      <c r="T169" s="47">
        <f t="shared" si="185"/>
        <v>0</v>
      </c>
      <c r="U169" s="47">
        <f t="shared" si="185"/>
        <v>0</v>
      </c>
      <c r="V169" s="47">
        <f t="shared" si="185"/>
        <v>0</v>
      </c>
      <c r="W169" s="47">
        <f>AVERAGE(N169:P169)</f>
        <v>5811</v>
      </c>
      <c r="X169" s="47">
        <f>W169</f>
        <v>5811</v>
      </c>
      <c r="Y169" s="74"/>
      <c r="Z169" s="74"/>
      <c r="AM169" s="74"/>
      <c r="AN169" s="74"/>
      <c r="AO169" s="74"/>
      <c r="AP169" s="74"/>
      <c r="AQ169" s="74"/>
      <c r="AR169" s="74"/>
      <c r="AS169" s="74"/>
      <c r="AT169" s="74"/>
      <c r="AU169" s="74"/>
      <c r="AV169" s="74"/>
      <c r="AW169" s="74"/>
      <c r="AX169" s="74"/>
      <c r="AY169" s="74"/>
      <c r="AZ169" s="74"/>
      <c r="BA169" s="74"/>
      <c r="BB169" s="74"/>
      <c r="BC169" s="74"/>
      <c r="BD169" s="74"/>
      <c r="BE169" s="74"/>
      <c r="BF169" s="74"/>
      <c r="BG169" s="74"/>
      <c r="BH169" s="74"/>
      <c r="BI169" s="74"/>
      <c r="BJ169" s="74"/>
      <c r="BK169" s="74"/>
      <c r="BL169" s="74"/>
      <c r="BM169" s="74"/>
      <c r="BN169" s="74"/>
      <c r="BO169" s="74"/>
      <c r="BP169" s="74"/>
      <c r="BQ169" s="74"/>
      <c r="BR169" s="74"/>
    </row>
    <row r="170" spans="1:70" s="4" customFormat="1" x14ac:dyDescent="0.3">
      <c r="A170" s="14"/>
      <c r="B170" s="48" t="s">
        <v>2</v>
      </c>
      <c r="C170" s="56">
        <v>10.5</v>
      </c>
      <c r="D170" s="57">
        <v>12.5</v>
      </c>
      <c r="E170" s="57">
        <v>14.5</v>
      </c>
      <c r="F170" s="57">
        <v>11</v>
      </c>
      <c r="G170" s="57">
        <v>16</v>
      </c>
      <c r="H170" s="57">
        <v>15</v>
      </c>
      <c r="I170" s="57">
        <v>8</v>
      </c>
      <c r="J170" s="57">
        <v>14</v>
      </c>
      <c r="K170" s="57">
        <v>8</v>
      </c>
      <c r="L170" s="57">
        <v>10.5</v>
      </c>
      <c r="M170" s="57">
        <v>6</v>
      </c>
      <c r="N170" s="57">
        <v>2.5</v>
      </c>
      <c r="O170" s="57">
        <v>10.9</v>
      </c>
      <c r="P170" s="57">
        <v>11.8</v>
      </c>
      <c r="Q170" s="57"/>
      <c r="R170" s="57"/>
      <c r="S170" s="57"/>
      <c r="T170" s="57"/>
      <c r="U170" s="57"/>
      <c r="V170" s="57"/>
      <c r="W170" s="57">
        <v>7.5</v>
      </c>
      <c r="X170" s="48">
        <f>W170*(1+'Hypothèses production'!B7)</f>
        <v>7.5</v>
      </c>
      <c r="Y170" s="57"/>
      <c r="Z170" s="57"/>
      <c r="AM170" s="57"/>
      <c r="AN170" s="57"/>
      <c r="AO170" s="57"/>
      <c r="AP170" s="57"/>
      <c r="AQ170" s="57"/>
      <c r="AR170" s="57"/>
      <c r="AS170" s="57"/>
      <c r="AT170" s="57"/>
      <c r="AU170" s="57"/>
      <c r="AV170" s="57"/>
      <c r="AW170" s="57"/>
      <c r="AX170" s="57"/>
      <c r="AY170" s="57"/>
      <c r="AZ170" s="57"/>
      <c r="BA170" s="57"/>
      <c r="BB170" s="57"/>
      <c r="BC170" s="57"/>
      <c r="BD170" s="57"/>
      <c r="BE170" s="57"/>
      <c r="BF170" s="57"/>
      <c r="BG170" s="57"/>
      <c r="BH170" s="57"/>
      <c r="BI170" s="57"/>
      <c r="BJ170" s="57"/>
      <c r="BK170" s="57"/>
      <c r="BL170" s="57"/>
      <c r="BM170" s="57"/>
      <c r="BN170" s="57"/>
      <c r="BO170" s="57"/>
      <c r="BP170" s="57"/>
      <c r="BQ170" s="57"/>
      <c r="BR170" s="57"/>
    </row>
    <row r="171" spans="1:70" s="3" customFormat="1" x14ac:dyDescent="0.3">
      <c r="A171" s="16" t="s">
        <v>24</v>
      </c>
      <c r="B171" s="47" t="s">
        <v>138</v>
      </c>
      <c r="C171" s="16">
        <f t="shared" ref="C171:V171" si="186">C170*C169</f>
        <v>79306.5</v>
      </c>
      <c r="D171" s="47">
        <f t="shared" si="186"/>
        <v>89400</v>
      </c>
      <c r="E171" s="47">
        <f t="shared" si="186"/>
        <v>98165</v>
      </c>
      <c r="F171" s="47">
        <f t="shared" si="186"/>
        <v>70488</v>
      </c>
      <c r="G171" s="47">
        <f t="shared" si="186"/>
        <v>102320</v>
      </c>
      <c r="H171" s="47">
        <f t="shared" si="186"/>
        <v>92880</v>
      </c>
      <c r="I171" s="47">
        <f t="shared" si="186"/>
        <v>49840</v>
      </c>
      <c r="J171" s="47">
        <f t="shared" si="186"/>
        <v>87038</v>
      </c>
      <c r="K171" s="47">
        <f t="shared" si="186"/>
        <v>49632</v>
      </c>
      <c r="L171" s="47">
        <f t="shared" si="186"/>
        <v>65005.5</v>
      </c>
      <c r="M171" s="47">
        <f t="shared" si="186"/>
        <v>36774</v>
      </c>
      <c r="N171" s="47">
        <f t="shared" si="186"/>
        <v>15322.5</v>
      </c>
      <c r="O171" s="47">
        <f t="shared" si="186"/>
        <v>63241.8</v>
      </c>
      <c r="P171" s="47">
        <f t="shared" si="186"/>
        <v>64923.600000000006</v>
      </c>
      <c r="Q171" s="47">
        <f t="shared" si="186"/>
        <v>0</v>
      </c>
      <c r="R171" s="47">
        <f t="shared" si="186"/>
        <v>0</v>
      </c>
      <c r="S171" s="47">
        <f t="shared" si="186"/>
        <v>0</v>
      </c>
      <c r="T171" s="47">
        <f t="shared" si="186"/>
        <v>0</v>
      </c>
      <c r="U171" s="47">
        <f t="shared" si="186"/>
        <v>0</v>
      </c>
      <c r="V171" s="47">
        <f t="shared" si="186"/>
        <v>0</v>
      </c>
      <c r="W171" s="47">
        <f t="shared" ref="W171:X171" si="187">W170*W169</f>
        <v>43582.5</v>
      </c>
      <c r="X171" s="47">
        <f t="shared" si="187"/>
        <v>43582.5</v>
      </c>
      <c r="Y171" s="232">
        <f>C171/'Calcul Fr métro'!C207</f>
        <v>0.55270167427701666</v>
      </c>
      <c r="Z171" s="285"/>
      <c r="AM171" s="74"/>
      <c r="AN171" s="74"/>
      <c r="AO171" s="74"/>
      <c r="AP171" s="74"/>
      <c r="AQ171" s="74"/>
      <c r="AR171" s="74"/>
      <c r="AS171" s="74"/>
      <c r="AT171" s="74"/>
      <c r="AU171" s="74"/>
      <c r="AV171" s="509"/>
      <c r="AW171" s="232"/>
      <c r="AX171" s="74"/>
      <c r="AY171" s="74"/>
      <c r="AZ171" s="74"/>
      <c r="BA171" s="74"/>
      <c r="BB171" s="74"/>
      <c r="BC171" s="74"/>
      <c r="BD171" s="74"/>
      <c r="BE171" s="74"/>
      <c r="BF171" s="74"/>
      <c r="BG171" s="74"/>
      <c r="BH171" s="74"/>
      <c r="BI171" s="74"/>
      <c r="BJ171" s="74"/>
      <c r="BK171" s="74"/>
      <c r="BL171" s="74"/>
      <c r="BM171" s="74"/>
      <c r="BN171" s="74"/>
      <c r="BO171" s="74"/>
      <c r="BP171" s="74"/>
      <c r="BQ171" s="74"/>
      <c r="BR171" s="74"/>
    </row>
    <row r="172" spans="1:70" s="8" customFormat="1" x14ac:dyDescent="0.3">
      <c r="A172" s="20"/>
      <c r="B172" s="49" t="s">
        <v>34</v>
      </c>
      <c r="C172" s="20">
        <f t="shared" ref="C172:P172" si="188">C17</f>
        <v>1.6987397561723463</v>
      </c>
      <c r="D172" s="49">
        <f t="shared" si="188"/>
        <v>1.7577706568399245</v>
      </c>
      <c r="E172" s="49">
        <f t="shared" si="188"/>
        <v>2.0688629764741591</v>
      </c>
      <c r="F172" s="49">
        <f t="shared" si="188"/>
        <v>1.5985936106335745</v>
      </c>
      <c r="G172" s="49">
        <f t="shared" si="188"/>
        <v>1.9423327540759616</v>
      </c>
      <c r="H172" s="49">
        <f t="shared" si="188"/>
        <v>1.9116583285927249</v>
      </c>
      <c r="I172" s="49">
        <f t="shared" si="188"/>
        <v>1.3676120998203285</v>
      </c>
      <c r="J172" s="49">
        <f t="shared" si="188"/>
        <v>1.8402010435381304</v>
      </c>
      <c r="K172" s="49">
        <f t="shared" si="188"/>
        <v>1.6299787133857813</v>
      </c>
      <c r="L172" s="49">
        <f t="shared" si="188"/>
        <v>2.0311085183215241</v>
      </c>
      <c r="M172" s="49">
        <f t="shared" si="188"/>
        <v>1.4645570555426535</v>
      </c>
      <c r="N172" s="49">
        <f t="shared" si="188"/>
        <v>0.90570196298728167</v>
      </c>
      <c r="O172" s="49">
        <f t="shared" si="188"/>
        <v>1.9072307951980221</v>
      </c>
      <c r="P172" s="49">
        <f t="shared" si="188"/>
        <v>1.8688269457982694</v>
      </c>
      <c r="Q172" s="49">
        <f>$O$172+(2/8)*($W$172-$O$172)</f>
        <v>1.8304230963985166</v>
      </c>
      <c r="R172" s="49">
        <f>$O$172+(3/8)*($W$172-$O$172)</f>
        <v>1.7920192469987639</v>
      </c>
      <c r="S172" s="49">
        <f>$O$172+(4/8)*($W$172-$O$172)</f>
        <v>1.753615397599011</v>
      </c>
      <c r="T172" s="49">
        <f>$O$172+(5/8)*($W$172-$O$172)</f>
        <v>1.7152115481992583</v>
      </c>
      <c r="U172" s="49">
        <f>$O$172+(6/8)*($W$172-$O$172)</f>
        <v>1.6768076987995055</v>
      </c>
      <c r="V172" s="49">
        <f>$O$172+(7/8)*($W$172-$O$172)</f>
        <v>1.6384038493997528</v>
      </c>
      <c r="W172" s="49">
        <f>W17</f>
        <v>1.6</v>
      </c>
      <c r="X172" s="49">
        <f>X17</f>
        <v>1.6800000000000002</v>
      </c>
      <c r="Y172" s="240"/>
      <c r="Z172" s="240"/>
      <c r="AM172" s="240"/>
      <c r="AN172" s="240"/>
      <c r="AO172" s="240"/>
      <c r="AP172" s="240"/>
      <c r="AQ172" s="240"/>
      <c r="AR172" s="240"/>
      <c r="AS172" s="240"/>
      <c r="AT172" s="240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</row>
    <row r="173" spans="1:70" s="3" customFormat="1" x14ac:dyDescent="0.3">
      <c r="A173" s="16"/>
      <c r="B173" s="47" t="s">
        <v>297</v>
      </c>
      <c r="C173" s="16">
        <f t="shared" ref="C173:O173" si="189">C172*C66/1000</f>
        <v>12873.182373975022</v>
      </c>
      <c r="D173" s="47">
        <f t="shared" si="189"/>
        <v>13419.21317717246</v>
      </c>
      <c r="E173" s="47">
        <f t="shared" si="189"/>
        <v>15920.446783794445</v>
      </c>
      <c r="F173" s="47">
        <f t="shared" si="189"/>
        <v>12401.241800882965</v>
      </c>
      <c r="G173" s="47">
        <f t="shared" si="189"/>
        <v>15190.918430314458</v>
      </c>
      <c r="H173" s="47">
        <f t="shared" si="189"/>
        <v>15059.466991838251</v>
      </c>
      <c r="I173" s="47">
        <f t="shared" si="189"/>
        <v>10827.233189334462</v>
      </c>
      <c r="J173" s="47">
        <f t="shared" si="189"/>
        <v>14626.446031740556</v>
      </c>
      <c r="K173" s="47">
        <f t="shared" si="189"/>
        <v>13030.79799503538</v>
      </c>
      <c r="L173" s="47">
        <f t="shared" si="189"/>
        <v>16336.075821914847</v>
      </c>
      <c r="M173" s="47">
        <f t="shared" si="189"/>
        <v>11831.646785873769</v>
      </c>
      <c r="N173" s="47">
        <f t="shared" si="189"/>
        <v>7348.7814973962459</v>
      </c>
      <c r="O173" s="47">
        <f t="shared" si="189"/>
        <v>15556.120092875992</v>
      </c>
      <c r="P173" s="47">
        <f t="shared" ref="P173:V173" si="190">P172*P66/1000</f>
        <v>15319.381843465797</v>
      </c>
      <c r="Q173" s="47">
        <f t="shared" si="190"/>
        <v>0</v>
      </c>
      <c r="R173" s="47">
        <f t="shared" si="190"/>
        <v>0</v>
      </c>
      <c r="S173" s="47">
        <f t="shared" si="190"/>
        <v>0</v>
      </c>
      <c r="T173" s="47">
        <f t="shared" si="190"/>
        <v>0</v>
      </c>
      <c r="U173" s="47">
        <f t="shared" si="190"/>
        <v>0</v>
      </c>
      <c r="V173" s="47">
        <f t="shared" si="190"/>
        <v>0</v>
      </c>
      <c r="W173" s="47">
        <f>W172*W66/1000</f>
        <v>13388.48</v>
      </c>
      <c r="X173" s="47">
        <f>X172*X66/1000</f>
        <v>14057.904000000002</v>
      </c>
      <c r="Y173" s="74"/>
      <c r="Z173" s="74"/>
      <c r="AM173" s="74"/>
      <c r="AN173" s="74"/>
      <c r="AO173" s="74"/>
      <c r="AP173" s="74"/>
      <c r="AQ173" s="74"/>
      <c r="AR173" s="74"/>
      <c r="AS173" s="74"/>
      <c r="AT173" s="74"/>
      <c r="AU173" s="74"/>
      <c r="AV173" s="74"/>
      <c r="AW173" s="74"/>
      <c r="AX173" s="74"/>
      <c r="AY173" s="74"/>
      <c r="AZ173" s="74"/>
      <c r="BA173" s="74"/>
      <c r="BB173" s="74"/>
      <c r="BC173" s="74"/>
      <c r="BD173" s="74"/>
      <c r="BE173" s="74"/>
      <c r="BF173" s="74"/>
      <c r="BG173" s="74"/>
      <c r="BH173" s="74"/>
      <c r="BI173" s="74"/>
      <c r="BJ173" s="74"/>
      <c r="BK173" s="74"/>
      <c r="BL173" s="74"/>
      <c r="BM173" s="74"/>
      <c r="BN173" s="74"/>
      <c r="BO173" s="74"/>
      <c r="BP173" s="74"/>
      <c r="BQ173" s="74"/>
      <c r="BR173" s="74"/>
    </row>
    <row r="174" spans="1:70" s="6" customFormat="1" x14ac:dyDescent="0.3">
      <c r="A174" s="205"/>
      <c r="B174" s="181" t="s">
        <v>298</v>
      </c>
      <c r="C174" s="205">
        <f t="shared" ref="C174:O174" si="191">(C171-C173)/C170</f>
        <v>6326.9826310499975</v>
      </c>
      <c r="D174" s="181">
        <f t="shared" si="191"/>
        <v>6078.4629458262025</v>
      </c>
      <c r="E174" s="181">
        <f t="shared" si="191"/>
        <v>5672.0381528417629</v>
      </c>
      <c r="F174" s="181">
        <f t="shared" si="191"/>
        <v>5280.6143817379125</v>
      </c>
      <c r="G174" s="181">
        <f t="shared" si="191"/>
        <v>5445.5675981053464</v>
      </c>
      <c r="H174" s="181">
        <f t="shared" si="191"/>
        <v>5188.0355338774498</v>
      </c>
      <c r="I174" s="181">
        <f t="shared" si="191"/>
        <v>4876.5958513331925</v>
      </c>
      <c r="J174" s="181">
        <f t="shared" si="191"/>
        <v>5172.2538548756738</v>
      </c>
      <c r="K174" s="181">
        <f t="shared" si="191"/>
        <v>4575.1502506205779</v>
      </c>
      <c r="L174" s="181">
        <f t="shared" si="191"/>
        <v>4635.1832550557283</v>
      </c>
      <c r="M174" s="181">
        <f t="shared" si="191"/>
        <v>4157.0588690210388</v>
      </c>
      <c r="N174" s="181">
        <f t="shared" si="191"/>
        <v>3189.4874010415015</v>
      </c>
      <c r="O174" s="181">
        <f t="shared" si="191"/>
        <v>4374.8330190022025</v>
      </c>
      <c r="P174" s="181">
        <f t="shared" ref="P174:V174" si="192">(P171-P173)/P170</f>
        <v>4203.7473014012039</v>
      </c>
      <c r="Q174" s="181" t="e">
        <f t="shared" si="192"/>
        <v>#DIV/0!</v>
      </c>
      <c r="R174" s="181" t="e">
        <f t="shared" si="192"/>
        <v>#DIV/0!</v>
      </c>
      <c r="S174" s="181" t="e">
        <f t="shared" si="192"/>
        <v>#DIV/0!</v>
      </c>
      <c r="T174" s="181" t="e">
        <f t="shared" si="192"/>
        <v>#DIV/0!</v>
      </c>
      <c r="U174" s="181" t="e">
        <f t="shared" si="192"/>
        <v>#DIV/0!</v>
      </c>
      <c r="V174" s="181" t="e">
        <f t="shared" si="192"/>
        <v>#DIV/0!</v>
      </c>
      <c r="W174" s="181">
        <f>(W171-W173)/W170</f>
        <v>4025.8693333333335</v>
      </c>
      <c r="X174" s="181">
        <f>(X171-X173)/X170</f>
        <v>3936.6127999999999</v>
      </c>
      <c r="Y174" s="303"/>
      <c r="Z174" s="303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1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1"/>
      <c r="BO174" s="121"/>
      <c r="BP174" s="121"/>
      <c r="BQ174" s="121"/>
      <c r="BR174" s="121"/>
    </row>
    <row r="175" spans="1:70" s="6" customFormat="1" x14ac:dyDescent="0.3">
      <c r="A175" s="144"/>
      <c r="B175" s="70" t="s">
        <v>392</v>
      </c>
      <c r="C175" s="418">
        <v>2749</v>
      </c>
      <c r="D175" s="244">
        <v>2736</v>
      </c>
      <c r="E175" s="244">
        <v>2623</v>
      </c>
      <c r="F175" s="244">
        <v>2575</v>
      </c>
      <c r="G175" s="244">
        <v>2576</v>
      </c>
      <c r="H175" s="244">
        <v>2478</v>
      </c>
      <c r="I175" s="244">
        <v>2393</v>
      </c>
      <c r="J175" s="244">
        <v>2393</v>
      </c>
      <c r="K175" s="244">
        <v>2362</v>
      </c>
      <c r="L175" s="244">
        <v>2363</v>
      </c>
      <c r="M175" s="244">
        <v>2211</v>
      </c>
      <c r="N175" s="244">
        <v>2211</v>
      </c>
      <c r="O175" s="244">
        <v>2212</v>
      </c>
      <c r="P175" s="244">
        <v>2101</v>
      </c>
      <c r="Q175" s="244"/>
      <c r="R175" s="244"/>
      <c r="S175" s="244"/>
      <c r="T175" s="244"/>
      <c r="U175" s="244"/>
      <c r="V175" s="244"/>
      <c r="W175" s="247">
        <f>AVERAGE(N175:P175)</f>
        <v>2174.6666666666665</v>
      </c>
      <c r="X175" s="54">
        <f>W175</f>
        <v>2174.6666666666665</v>
      </c>
      <c r="Y175" s="303"/>
      <c r="Z175" s="303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1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1"/>
      <c r="BO175" s="121"/>
      <c r="BP175" s="121"/>
      <c r="BQ175" s="121"/>
      <c r="BR175" s="121"/>
    </row>
    <row r="176" spans="1:70" s="3" customFormat="1" x14ac:dyDescent="0.3">
      <c r="A176" s="16" t="s">
        <v>8</v>
      </c>
      <c r="B176" s="47" t="s">
        <v>139</v>
      </c>
      <c r="C176" s="16">
        <f t="shared" ref="C176:V176" si="193">C175*$F$57</f>
        <v>2749</v>
      </c>
      <c r="D176" s="47">
        <f t="shared" si="193"/>
        <v>2736</v>
      </c>
      <c r="E176" s="47">
        <f t="shared" si="193"/>
        <v>2623</v>
      </c>
      <c r="F176" s="47">
        <f t="shared" si="193"/>
        <v>2575</v>
      </c>
      <c r="G176" s="47">
        <f t="shared" si="193"/>
        <v>2576</v>
      </c>
      <c r="H176" s="47">
        <f t="shared" si="193"/>
        <v>2478</v>
      </c>
      <c r="I176" s="47">
        <f t="shared" si="193"/>
        <v>2393</v>
      </c>
      <c r="J176" s="47">
        <f t="shared" si="193"/>
        <v>2393</v>
      </c>
      <c r="K176" s="47">
        <f t="shared" si="193"/>
        <v>2362</v>
      </c>
      <c r="L176" s="47">
        <f t="shared" si="193"/>
        <v>2363</v>
      </c>
      <c r="M176" s="47">
        <f t="shared" si="193"/>
        <v>2211</v>
      </c>
      <c r="N176" s="47">
        <f t="shared" si="193"/>
        <v>2211</v>
      </c>
      <c r="O176" s="47">
        <f t="shared" si="193"/>
        <v>2212</v>
      </c>
      <c r="P176" s="47">
        <f t="shared" si="193"/>
        <v>2101</v>
      </c>
      <c r="Q176" s="47">
        <f t="shared" si="193"/>
        <v>0</v>
      </c>
      <c r="R176" s="47">
        <f t="shared" si="193"/>
        <v>0</v>
      </c>
      <c r="S176" s="47">
        <f t="shared" si="193"/>
        <v>0</v>
      </c>
      <c r="T176" s="47">
        <f t="shared" si="193"/>
        <v>0</v>
      </c>
      <c r="U176" s="47">
        <f t="shared" si="193"/>
        <v>0</v>
      </c>
      <c r="V176" s="47">
        <f t="shared" si="193"/>
        <v>0</v>
      </c>
      <c r="W176" s="47">
        <f>AVERAGE(N176:P176)</f>
        <v>2174.6666666666665</v>
      </c>
      <c r="X176" s="47">
        <f>W176</f>
        <v>2174.6666666666665</v>
      </c>
      <c r="Y176" s="74"/>
      <c r="Z176" s="74"/>
      <c r="AM176" s="74"/>
      <c r="AN176" s="74"/>
      <c r="AO176" s="74"/>
      <c r="AP176" s="74"/>
      <c r="AQ176" s="74"/>
      <c r="AR176" s="74"/>
      <c r="AS176" s="74"/>
      <c r="AT176" s="74"/>
      <c r="AU176" s="74"/>
      <c r="AV176" s="74"/>
      <c r="AW176" s="74"/>
      <c r="AX176" s="74"/>
      <c r="AY176" s="74"/>
      <c r="AZ176" s="74"/>
      <c r="BA176" s="74"/>
      <c r="BB176" s="74"/>
      <c r="BC176" s="74"/>
      <c r="BD176" s="74"/>
      <c r="BE176" s="74"/>
      <c r="BF176" s="74"/>
      <c r="BG176" s="74"/>
      <c r="BH176" s="74"/>
      <c r="BI176" s="74"/>
      <c r="BJ176" s="74"/>
      <c r="BK176" s="74"/>
      <c r="BL176" s="74"/>
      <c r="BM176" s="74"/>
      <c r="BN176" s="74"/>
      <c r="BO176" s="74"/>
      <c r="BP176" s="74"/>
      <c r="BQ176" s="74"/>
      <c r="BR176" s="74"/>
    </row>
    <row r="177" spans="1:70" s="4" customFormat="1" x14ac:dyDescent="0.3">
      <c r="A177" s="14" t="s">
        <v>28</v>
      </c>
      <c r="B177" s="48" t="s">
        <v>2</v>
      </c>
      <c r="C177" s="56">
        <v>21.7</v>
      </c>
      <c r="D177" s="57">
        <v>22.8</v>
      </c>
      <c r="E177" s="57">
        <v>21.8</v>
      </c>
      <c r="F177" s="57">
        <v>21.1</v>
      </c>
      <c r="G177" s="57">
        <v>22.1</v>
      </c>
      <c r="H177" s="57">
        <v>23.1</v>
      </c>
      <c r="I177" s="57">
        <v>21.1</v>
      </c>
      <c r="J177" s="57">
        <v>23.7</v>
      </c>
      <c r="K177" s="57">
        <v>22.5</v>
      </c>
      <c r="L177" s="57">
        <v>21.5</v>
      </c>
      <c r="M177" s="57">
        <v>19.600000000000001</v>
      </c>
      <c r="N177" s="57">
        <v>8.6</v>
      </c>
      <c r="O177" s="57">
        <v>18.8</v>
      </c>
      <c r="P177" s="57">
        <v>17.100000000000001</v>
      </c>
      <c r="Q177" s="57"/>
      <c r="R177" s="57"/>
      <c r="S177" s="57"/>
      <c r="T177" s="57"/>
      <c r="U177" s="57"/>
      <c r="V177" s="57"/>
      <c r="W177" s="57">
        <v>15.4</v>
      </c>
      <c r="X177" s="48">
        <f>W177*(1+'Hypothèses production'!B7)</f>
        <v>15.4</v>
      </c>
      <c r="Y177" s="57"/>
      <c r="Z177" s="57"/>
      <c r="AK177" s="8"/>
      <c r="AL177" s="8"/>
      <c r="AM177" s="240"/>
      <c r="AN177" s="240"/>
      <c r="AO177" s="240"/>
      <c r="AP177" s="240"/>
      <c r="AQ177" s="57"/>
      <c r="AR177" s="57"/>
      <c r="AS177" s="57"/>
      <c r="AT177" s="57"/>
      <c r="AU177" s="57"/>
      <c r="AV177" s="57"/>
      <c r="AW177" s="57"/>
      <c r="AX177" s="57"/>
      <c r="AY177" s="57"/>
      <c r="AZ177" s="57"/>
      <c r="BA177" s="57"/>
      <c r="BB177" s="57"/>
      <c r="BC177" s="57"/>
      <c r="BD177" s="57"/>
      <c r="BE177" s="57"/>
      <c r="BF177" s="57"/>
      <c r="BG177" s="57"/>
      <c r="BH177" s="57"/>
      <c r="BI177" s="57"/>
      <c r="BJ177" s="57"/>
      <c r="BK177" s="57"/>
      <c r="BL177" s="57"/>
      <c r="BM177" s="57"/>
      <c r="BN177" s="57"/>
      <c r="BO177" s="57"/>
      <c r="BP177" s="57"/>
      <c r="BQ177" s="57"/>
      <c r="BR177" s="57"/>
    </row>
    <row r="178" spans="1:70" s="3" customFormat="1" x14ac:dyDescent="0.3">
      <c r="A178" s="16" t="s">
        <v>394</v>
      </c>
      <c r="B178" s="47" t="s">
        <v>138</v>
      </c>
      <c r="C178" s="16">
        <f t="shared" ref="C178:V178" si="194">C177*C176</f>
        <v>59653.299999999996</v>
      </c>
      <c r="D178" s="47">
        <f t="shared" si="194"/>
        <v>62380.800000000003</v>
      </c>
      <c r="E178" s="47">
        <f t="shared" si="194"/>
        <v>57181.4</v>
      </c>
      <c r="F178" s="47">
        <f t="shared" si="194"/>
        <v>54332.500000000007</v>
      </c>
      <c r="G178" s="47">
        <f t="shared" si="194"/>
        <v>56929.600000000006</v>
      </c>
      <c r="H178" s="47">
        <f t="shared" si="194"/>
        <v>57241.8</v>
      </c>
      <c r="I178" s="47">
        <f t="shared" si="194"/>
        <v>50492.3</v>
      </c>
      <c r="J178" s="47">
        <f t="shared" si="194"/>
        <v>56714.1</v>
      </c>
      <c r="K178" s="47">
        <f t="shared" si="194"/>
        <v>53145</v>
      </c>
      <c r="L178" s="47">
        <f t="shared" si="194"/>
        <v>50804.5</v>
      </c>
      <c r="M178" s="47">
        <f t="shared" si="194"/>
        <v>43335.600000000006</v>
      </c>
      <c r="N178" s="47">
        <f t="shared" si="194"/>
        <v>19014.599999999999</v>
      </c>
      <c r="O178" s="47">
        <f t="shared" si="194"/>
        <v>41585.599999999999</v>
      </c>
      <c r="P178" s="47">
        <f t="shared" si="194"/>
        <v>35927.100000000006</v>
      </c>
      <c r="Q178" s="47">
        <f t="shared" si="194"/>
        <v>0</v>
      </c>
      <c r="R178" s="47">
        <f t="shared" si="194"/>
        <v>0</v>
      </c>
      <c r="S178" s="47">
        <f t="shared" si="194"/>
        <v>0</v>
      </c>
      <c r="T178" s="47">
        <f t="shared" si="194"/>
        <v>0</v>
      </c>
      <c r="U178" s="47">
        <f t="shared" si="194"/>
        <v>0</v>
      </c>
      <c r="V178" s="47">
        <f t="shared" si="194"/>
        <v>0</v>
      </c>
      <c r="W178" s="47">
        <f t="shared" ref="W178:X178" si="195">W177*W176</f>
        <v>33489.866666666669</v>
      </c>
      <c r="X178" s="47">
        <f t="shared" si="195"/>
        <v>33489.866666666669</v>
      </c>
      <c r="Y178" s="74"/>
      <c r="Z178" s="285"/>
      <c r="AM178" s="74"/>
      <c r="AN178" s="74"/>
      <c r="AO178" s="74"/>
      <c r="AP178" s="74"/>
      <c r="AQ178" s="74"/>
      <c r="AR178" s="74"/>
      <c r="AS178" s="74"/>
      <c r="AT178" s="74"/>
      <c r="AU178" s="74"/>
      <c r="AV178" s="509"/>
      <c r="AW178" s="232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/>
      <c r="BP178" s="74"/>
      <c r="BQ178" s="74"/>
      <c r="BR178" s="74"/>
    </row>
    <row r="179" spans="1:70" s="8" customFormat="1" x14ac:dyDescent="0.3">
      <c r="A179" s="20" t="s">
        <v>29</v>
      </c>
      <c r="B179" s="48" t="s">
        <v>296</v>
      </c>
      <c r="C179" s="20">
        <f t="shared" ref="C179:P179" si="196">C18</f>
        <v>6.1</v>
      </c>
      <c r="D179" s="49">
        <f t="shared" si="196"/>
        <v>5.6</v>
      </c>
      <c r="E179" s="49">
        <f t="shared" si="196"/>
        <v>5.3</v>
      </c>
      <c r="F179" s="49">
        <f t="shared" si="196"/>
        <v>5.0999999999999996</v>
      </c>
      <c r="G179" s="49">
        <f t="shared" si="196"/>
        <v>5</v>
      </c>
      <c r="H179" s="49">
        <f t="shared" si="196"/>
        <v>5.0999999999999996</v>
      </c>
      <c r="I179" s="49">
        <f t="shared" si="196"/>
        <v>5</v>
      </c>
      <c r="J179" s="49">
        <f t="shared" si="196"/>
        <v>5.2</v>
      </c>
      <c r="K179" s="49">
        <f t="shared" si="196"/>
        <v>4.7</v>
      </c>
      <c r="L179" s="49">
        <f t="shared" si="196"/>
        <v>4.9000000000000004</v>
      </c>
      <c r="M179" s="49">
        <f t="shared" si="196"/>
        <v>4.2</v>
      </c>
      <c r="N179" s="49">
        <f t="shared" si="196"/>
        <v>4.2</v>
      </c>
      <c r="O179" s="49">
        <f t="shared" si="196"/>
        <v>4.0999999999999996</v>
      </c>
      <c r="P179" s="49">
        <f t="shared" si="196"/>
        <v>4.1124999999999998</v>
      </c>
      <c r="Q179" s="49">
        <f>$O$179+(2/8)*($W$179-$O$179)</f>
        <v>4.125</v>
      </c>
      <c r="R179" s="49">
        <f>$O$179+(3/8)*($W$179-$O$179)</f>
        <v>4.1375000000000002</v>
      </c>
      <c r="S179" s="49">
        <f>$O$179+(4/8)*($W$179-$O$179)</f>
        <v>4.1500000000000004</v>
      </c>
      <c r="T179" s="49">
        <f>$O$179+(5/8)*($W$179-$O$179)</f>
        <v>4.1624999999999996</v>
      </c>
      <c r="U179" s="49">
        <f>$O$179+(6/8)*($W$179-$O$179)</f>
        <v>4.1749999999999998</v>
      </c>
      <c r="V179" s="49">
        <f>$O$179+(7/8)*($W$179-$O$179)</f>
        <v>4.1875</v>
      </c>
      <c r="W179" s="49">
        <f>W18</f>
        <v>4.2</v>
      </c>
      <c r="X179" s="49">
        <f>X18</f>
        <v>4.41</v>
      </c>
      <c r="Y179" s="240"/>
      <c r="Z179" s="240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121"/>
      <c r="AN179" s="121"/>
      <c r="AO179" s="121"/>
      <c r="AP179" s="121"/>
      <c r="AQ179" s="240"/>
      <c r="AR179" s="240"/>
      <c r="AS179" s="240"/>
      <c r="AT179" s="240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</row>
    <row r="180" spans="1:70" s="3" customFormat="1" x14ac:dyDescent="0.3">
      <c r="A180" s="16"/>
      <c r="B180" s="47" t="s">
        <v>297</v>
      </c>
      <c r="C180" s="16">
        <f t="shared" ref="C180:O180" si="197">C179*C66/1000</f>
        <v>46226.275799999996</v>
      </c>
      <c r="D180" s="47">
        <f t="shared" si="197"/>
        <v>42751.648799999995</v>
      </c>
      <c r="E180" s="47">
        <f t="shared" si="197"/>
        <v>40784.899199999993</v>
      </c>
      <c r="F180" s="47">
        <f t="shared" si="197"/>
        <v>39563.734499999999</v>
      </c>
      <c r="G180" s="47">
        <f t="shared" si="197"/>
        <v>39104.83</v>
      </c>
      <c r="H180" s="47">
        <f t="shared" si="197"/>
        <v>40176.2598</v>
      </c>
      <c r="I180" s="47">
        <f t="shared" si="197"/>
        <v>39584.445</v>
      </c>
      <c r="J180" s="47">
        <f t="shared" si="197"/>
        <v>41331.092400000001</v>
      </c>
      <c r="K180" s="47">
        <f t="shared" si="197"/>
        <v>37573.957300000002</v>
      </c>
      <c r="L180" s="47">
        <f t="shared" si="197"/>
        <v>39410.386400000003</v>
      </c>
      <c r="M180" s="47">
        <f t="shared" si="197"/>
        <v>33930.338400000001</v>
      </c>
      <c r="N180" s="47">
        <f t="shared" si="197"/>
        <v>34078.409399999997</v>
      </c>
      <c r="O180" s="47">
        <f t="shared" si="197"/>
        <v>33441.203099999999</v>
      </c>
      <c r="P180" s="47">
        <f t="shared" ref="P180:V180" si="198">P179*P66/1000</f>
        <v>33711.499062499999</v>
      </c>
      <c r="Q180" s="47">
        <f t="shared" si="198"/>
        <v>0</v>
      </c>
      <c r="R180" s="47">
        <f t="shared" si="198"/>
        <v>0</v>
      </c>
      <c r="S180" s="47">
        <f t="shared" si="198"/>
        <v>0</v>
      </c>
      <c r="T180" s="47">
        <f t="shared" si="198"/>
        <v>0</v>
      </c>
      <c r="U180" s="47">
        <f t="shared" si="198"/>
        <v>0</v>
      </c>
      <c r="V180" s="47">
        <f t="shared" si="198"/>
        <v>0</v>
      </c>
      <c r="W180" s="47">
        <f>W179*W66/1000</f>
        <v>35144.76</v>
      </c>
      <c r="X180" s="47">
        <f>X179*X66/1000</f>
        <v>36901.998</v>
      </c>
      <c r="Y180" s="74"/>
      <c r="Z180" s="74"/>
      <c r="AM180" s="74"/>
      <c r="AN180" s="74"/>
      <c r="AO180" s="74"/>
      <c r="AP180" s="74"/>
      <c r="AQ180" s="74"/>
      <c r="AR180" s="74"/>
      <c r="AS180" s="74"/>
      <c r="AT180" s="74"/>
      <c r="AU180" s="74"/>
      <c r="AV180" s="74"/>
      <c r="AW180" s="74"/>
      <c r="AX180" s="74"/>
      <c r="AY180" s="74"/>
      <c r="AZ180" s="74"/>
      <c r="BA180" s="74"/>
      <c r="BB180" s="74"/>
      <c r="BC180" s="74"/>
      <c r="BD180" s="74"/>
      <c r="BE180" s="74"/>
      <c r="BF180" s="74"/>
      <c r="BG180" s="74"/>
      <c r="BH180" s="74"/>
      <c r="BI180" s="74"/>
      <c r="BJ180" s="74"/>
      <c r="BK180" s="74"/>
      <c r="BL180" s="74"/>
      <c r="BM180" s="74"/>
      <c r="BN180" s="74"/>
      <c r="BO180" s="74"/>
      <c r="BP180" s="74"/>
      <c r="BQ180" s="74"/>
      <c r="BR180" s="74"/>
    </row>
    <row r="181" spans="1:70" s="6" customFormat="1" x14ac:dyDescent="0.3">
      <c r="A181" s="205"/>
      <c r="B181" s="181" t="s">
        <v>298</v>
      </c>
      <c r="C181" s="205">
        <f t="shared" ref="C181:O181" si="199">(C178-C180)/C177</f>
        <v>618.75687557603692</v>
      </c>
      <c r="D181" s="181">
        <f t="shared" si="199"/>
        <v>860.92768421052665</v>
      </c>
      <c r="E181" s="181">
        <f t="shared" si="199"/>
        <v>752.13306422018388</v>
      </c>
      <c r="F181" s="181">
        <f t="shared" si="199"/>
        <v>699.94149289099562</v>
      </c>
      <c r="G181" s="181">
        <f t="shared" si="199"/>
        <v>806.55067873303176</v>
      </c>
      <c r="H181" s="181">
        <f t="shared" si="199"/>
        <v>738.76797402597413</v>
      </c>
      <c r="I181" s="181">
        <f t="shared" si="199"/>
        <v>516.95995260663517</v>
      </c>
      <c r="J181" s="181">
        <f t="shared" si="199"/>
        <v>649.07205063291133</v>
      </c>
      <c r="K181" s="181">
        <f t="shared" si="199"/>
        <v>692.04634222222217</v>
      </c>
      <c r="L181" s="181">
        <f t="shared" si="199"/>
        <v>529.95877209302307</v>
      </c>
      <c r="M181" s="181">
        <f t="shared" si="199"/>
        <v>479.86028571428596</v>
      </c>
      <c r="N181" s="181">
        <f t="shared" si="199"/>
        <v>-1751.6057441860464</v>
      </c>
      <c r="O181" s="181">
        <f t="shared" si="199"/>
        <v>433.21260106382977</v>
      </c>
      <c r="P181" s="181">
        <f t="shared" ref="P181:V181" si="200">(P178-P180)/P177</f>
        <v>129.56730628655009</v>
      </c>
      <c r="Q181" s="181" t="e">
        <f t="shared" si="200"/>
        <v>#DIV/0!</v>
      </c>
      <c r="R181" s="181" t="e">
        <f t="shared" si="200"/>
        <v>#DIV/0!</v>
      </c>
      <c r="S181" s="181" t="e">
        <f t="shared" si="200"/>
        <v>#DIV/0!</v>
      </c>
      <c r="T181" s="181" t="e">
        <f t="shared" si="200"/>
        <v>#DIV/0!</v>
      </c>
      <c r="U181" s="181" t="e">
        <f t="shared" si="200"/>
        <v>#DIV/0!</v>
      </c>
      <c r="V181" s="181" t="e">
        <f t="shared" si="200"/>
        <v>#DIV/0!</v>
      </c>
      <c r="W181" s="181">
        <f>(W178-W180)/W177</f>
        <v>-107.46060606060607</v>
      </c>
      <c r="X181" s="181">
        <f>(X178-X180)/X177</f>
        <v>-221.56696969696955</v>
      </c>
      <c r="Y181" s="303"/>
      <c r="Z181" s="303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57"/>
      <c r="AN181" s="57"/>
      <c r="AO181" s="57"/>
      <c r="AP181" s="57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1"/>
      <c r="BO181" s="121"/>
      <c r="BP181" s="121"/>
      <c r="BQ181" s="121"/>
      <c r="BR181" s="121"/>
    </row>
    <row r="182" spans="1:70" s="6" customFormat="1" x14ac:dyDescent="0.3">
      <c r="A182" s="144"/>
      <c r="B182" s="70" t="s">
        <v>392</v>
      </c>
      <c r="C182" s="418">
        <v>3587</v>
      </c>
      <c r="D182" s="244">
        <v>3506</v>
      </c>
      <c r="E182" s="244">
        <v>3430</v>
      </c>
      <c r="F182" s="244">
        <v>3349</v>
      </c>
      <c r="G182" s="244">
        <v>3354</v>
      </c>
      <c r="H182" s="244">
        <v>3363</v>
      </c>
      <c r="I182" s="244">
        <v>3375</v>
      </c>
      <c r="J182" s="244">
        <v>3387</v>
      </c>
      <c r="K182" s="244">
        <v>3397</v>
      </c>
      <c r="L182" s="244">
        <v>3274</v>
      </c>
      <c r="M182" s="244">
        <v>3416</v>
      </c>
      <c r="N182" s="244">
        <v>3414</v>
      </c>
      <c r="O182" s="244">
        <v>3414</v>
      </c>
      <c r="P182" s="244">
        <v>3409</v>
      </c>
      <c r="Q182" s="244"/>
      <c r="R182" s="244"/>
      <c r="S182" s="244"/>
      <c r="T182" s="244"/>
      <c r="U182" s="244"/>
      <c r="V182" s="244"/>
      <c r="W182" s="247">
        <f>AVERAGE(N182:P182)</f>
        <v>3412.3333333333335</v>
      </c>
      <c r="X182" s="54">
        <f>W182</f>
        <v>3412.3333333333335</v>
      </c>
      <c r="Y182" s="303"/>
      <c r="Z182" s="303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57"/>
      <c r="AN182" s="57"/>
      <c r="AO182" s="57"/>
      <c r="AP182" s="57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1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1"/>
      <c r="BO182" s="121"/>
      <c r="BP182" s="121"/>
      <c r="BQ182" s="121"/>
      <c r="BR182" s="121"/>
    </row>
    <row r="183" spans="1:70" s="3" customFormat="1" x14ac:dyDescent="0.3">
      <c r="A183" s="16"/>
      <c r="B183" s="47" t="s">
        <v>139</v>
      </c>
      <c r="C183" s="16">
        <f t="shared" ref="C183:V183" si="201">C182*$F$57</f>
        <v>3587</v>
      </c>
      <c r="D183" s="47">
        <f t="shared" si="201"/>
        <v>3506</v>
      </c>
      <c r="E183" s="47">
        <f t="shared" si="201"/>
        <v>3430</v>
      </c>
      <c r="F183" s="47">
        <f t="shared" si="201"/>
        <v>3349</v>
      </c>
      <c r="G183" s="47">
        <f t="shared" si="201"/>
        <v>3354</v>
      </c>
      <c r="H183" s="47">
        <f t="shared" si="201"/>
        <v>3363</v>
      </c>
      <c r="I183" s="47">
        <f t="shared" si="201"/>
        <v>3375</v>
      </c>
      <c r="J183" s="47">
        <f t="shared" si="201"/>
        <v>3387</v>
      </c>
      <c r="K183" s="47">
        <f t="shared" si="201"/>
        <v>3397</v>
      </c>
      <c r="L183" s="47">
        <f t="shared" si="201"/>
        <v>3274</v>
      </c>
      <c r="M183" s="47">
        <f t="shared" si="201"/>
        <v>3416</v>
      </c>
      <c r="N183" s="47">
        <f t="shared" si="201"/>
        <v>3414</v>
      </c>
      <c r="O183" s="47">
        <f t="shared" si="201"/>
        <v>3414</v>
      </c>
      <c r="P183" s="47">
        <f t="shared" si="201"/>
        <v>3409</v>
      </c>
      <c r="Q183" s="47">
        <f t="shared" si="201"/>
        <v>0</v>
      </c>
      <c r="R183" s="47">
        <f t="shared" si="201"/>
        <v>0</v>
      </c>
      <c r="S183" s="47">
        <f t="shared" si="201"/>
        <v>0</v>
      </c>
      <c r="T183" s="47">
        <f t="shared" si="201"/>
        <v>0</v>
      </c>
      <c r="U183" s="47">
        <f t="shared" si="201"/>
        <v>0</v>
      </c>
      <c r="V183" s="47">
        <f t="shared" si="201"/>
        <v>0</v>
      </c>
      <c r="W183" s="47">
        <f>AVERAGE(N183:P183)</f>
        <v>3412.3333333333335</v>
      </c>
      <c r="X183" s="47">
        <f>W183</f>
        <v>3412.3333333333335</v>
      </c>
      <c r="Y183" s="74"/>
      <c r="Z183" s="74"/>
      <c r="AM183" s="74"/>
      <c r="AN183" s="74"/>
      <c r="AO183" s="74"/>
      <c r="AP183" s="74"/>
      <c r="AQ183" s="74"/>
      <c r="AR183" s="74"/>
      <c r="AS183" s="74"/>
      <c r="AT183" s="74"/>
      <c r="AU183" s="74"/>
      <c r="AV183" s="74"/>
      <c r="AW183" s="74"/>
      <c r="AX183" s="74"/>
      <c r="AY183" s="74"/>
      <c r="AZ183" s="74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  <c r="BM183" s="74"/>
      <c r="BN183" s="74"/>
      <c r="BO183" s="74"/>
      <c r="BP183" s="74"/>
      <c r="BQ183" s="74"/>
      <c r="BR183" s="74"/>
    </row>
    <row r="184" spans="1:70" s="4" customFormat="1" x14ac:dyDescent="0.3">
      <c r="A184" s="14"/>
      <c r="B184" s="48" t="s">
        <v>2</v>
      </c>
      <c r="C184" s="56">
        <v>33.4</v>
      </c>
      <c r="D184" s="57">
        <v>36.200000000000003</v>
      </c>
      <c r="E184" s="57">
        <v>29.7</v>
      </c>
      <c r="F184" s="57">
        <v>31.1</v>
      </c>
      <c r="G184" s="57">
        <v>35.5</v>
      </c>
      <c r="H184" s="57">
        <v>34.6</v>
      </c>
      <c r="I184" s="57">
        <v>32.4</v>
      </c>
      <c r="J184" s="57">
        <v>28.5</v>
      </c>
      <c r="K184" s="57">
        <v>31.9</v>
      </c>
      <c r="L184" s="57">
        <v>33.299999999999997</v>
      </c>
      <c r="M184" s="57">
        <v>30.8</v>
      </c>
      <c r="N184" s="57">
        <v>20.100000000000001</v>
      </c>
      <c r="O184" s="57">
        <v>29</v>
      </c>
      <c r="P184" s="57">
        <v>30.5</v>
      </c>
      <c r="Q184" s="57"/>
      <c r="R184" s="57"/>
      <c r="S184" s="57"/>
      <c r="T184" s="57"/>
      <c r="U184" s="57"/>
      <c r="V184" s="57"/>
      <c r="W184" s="57">
        <v>25.9</v>
      </c>
      <c r="X184" s="48">
        <f>W184*(1+'Hypothèses production'!B7)</f>
        <v>25.9</v>
      </c>
      <c r="Y184" s="57"/>
      <c r="Z184" s="57"/>
      <c r="AM184" s="57"/>
      <c r="AN184" s="57"/>
      <c r="AO184" s="57"/>
      <c r="AP184" s="57"/>
      <c r="AQ184" s="57"/>
      <c r="AR184" s="57"/>
      <c r="AS184" s="57"/>
      <c r="AT184" s="57"/>
      <c r="AU184" s="57"/>
      <c r="AV184" s="57"/>
      <c r="AW184" s="57"/>
      <c r="AX184" s="57"/>
      <c r="AY184" s="57"/>
      <c r="AZ184" s="57"/>
      <c r="BA184" s="57"/>
      <c r="BB184" s="57"/>
      <c r="BC184" s="57"/>
      <c r="BD184" s="57"/>
      <c r="BE184" s="57"/>
      <c r="BF184" s="57"/>
      <c r="BG184" s="57"/>
      <c r="BH184" s="57"/>
      <c r="BI184" s="57"/>
      <c r="BJ184" s="57"/>
      <c r="BK184" s="57"/>
      <c r="BL184" s="57"/>
      <c r="BM184" s="57"/>
      <c r="BN184" s="57"/>
      <c r="BO184" s="57"/>
      <c r="BP184" s="57"/>
      <c r="BQ184" s="57"/>
      <c r="BR184" s="57"/>
    </row>
    <row r="185" spans="1:70" s="3" customFormat="1" x14ac:dyDescent="0.3">
      <c r="A185" s="16" t="s">
        <v>7</v>
      </c>
      <c r="B185" s="47" t="s">
        <v>138</v>
      </c>
      <c r="C185" s="16">
        <f t="shared" ref="C185:V185" si="202">C184*C183</f>
        <v>119805.79999999999</v>
      </c>
      <c r="D185" s="47">
        <f t="shared" si="202"/>
        <v>126917.20000000001</v>
      </c>
      <c r="E185" s="47">
        <f t="shared" si="202"/>
        <v>101871</v>
      </c>
      <c r="F185" s="47">
        <f t="shared" si="202"/>
        <v>104153.90000000001</v>
      </c>
      <c r="G185" s="47">
        <f t="shared" si="202"/>
        <v>119067</v>
      </c>
      <c r="H185" s="47">
        <f t="shared" si="202"/>
        <v>116359.8</v>
      </c>
      <c r="I185" s="47">
        <f t="shared" si="202"/>
        <v>109350</v>
      </c>
      <c r="J185" s="47">
        <f t="shared" si="202"/>
        <v>96529.5</v>
      </c>
      <c r="K185" s="47">
        <f t="shared" si="202"/>
        <v>108364.29999999999</v>
      </c>
      <c r="L185" s="47">
        <f t="shared" si="202"/>
        <v>109024.2</v>
      </c>
      <c r="M185" s="47">
        <f t="shared" si="202"/>
        <v>105212.8</v>
      </c>
      <c r="N185" s="47">
        <f t="shared" si="202"/>
        <v>68621.400000000009</v>
      </c>
      <c r="O185" s="47">
        <f t="shared" si="202"/>
        <v>99006</v>
      </c>
      <c r="P185" s="47">
        <f t="shared" si="202"/>
        <v>103974.5</v>
      </c>
      <c r="Q185" s="47">
        <f t="shared" si="202"/>
        <v>0</v>
      </c>
      <c r="R185" s="47">
        <f t="shared" si="202"/>
        <v>0</v>
      </c>
      <c r="S185" s="47">
        <f t="shared" si="202"/>
        <v>0</v>
      </c>
      <c r="T185" s="47">
        <f t="shared" si="202"/>
        <v>0</v>
      </c>
      <c r="U185" s="47">
        <f t="shared" si="202"/>
        <v>0</v>
      </c>
      <c r="V185" s="47">
        <f t="shared" si="202"/>
        <v>0</v>
      </c>
      <c r="W185" s="47">
        <f t="shared" ref="W185:X185" si="203">W184*W183</f>
        <v>88379.433333333334</v>
      </c>
      <c r="X185" s="47">
        <f t="shared" si="203"/>
        <v>88379.433333333334</v>
      </c>
      <c r="Y185" s="74"/>
      <c r="Z185" s="285"/>
      <c r="AM185" s="74"/>
      <c r="AN185" s="74"/>
      <c r="AO185" s="74"/>
      <c r="AP185" s="74"/>
      <c r="AQ185" s="74"/>
      <c r="AR185" s="74"/>
      <c r="AS185" s="74"/>
      <c r="AT185" s="74"/>
      <c r="AU185" s="74"/>
      <c r="AV185" s="509"/>
      <c r="AW185" s="232"/>
      <c r="AX185" s="74"/>
      <c r="AY185" s="74"/>
      <c r="AZ185" s="74"/>
      <c r="BA185" s="74"/>
      <c r="BB185" s="74"/>
      <c r="BC185" s="74"/>
      <c r="BD185" s="74"/>
      <c r="BE185" s="74"/>
      <c r="BF185" s="74"/>
      <c r="BG185" s="74"/>
      <c r="BH185" s="74"/>
      <c r="BI185" s="74"/>
      <c r="BJ185" s="74"/>
      <c r="BK185" s="74"/>
      <c r="BL185" s="74"/>
      <c r="BM185" s="74"/>
      <c r="BN185" s="74"/>
      <c r="BO185" s="74"/>
      <c r="BP185" s="74"/>
      <c r="BQ185" s="74"/>
      <c r="BR185" s="74"/>
    </row>
    <row r="186" spans="1:70" s="4" customFormat="1" x14ac:dyDescent="0.3">
      <c r="A186" s="14"/>
      <c r="B186" s="48" t="s">
        <v>296</v>
      </c>
      <c r="C186" s="14">
        <f t="shared" ref="C186:P186" si="204">C19</f>
        <v>22</v>
      </c>
      <c r="D186" s="48">
        <f t="shared" si="204"/>
        <v>22.1</v>
      </c>
      <c r="E186" s="48">
        <f t="shared" si="204"/>
        <v>21.6</v>
      </c>
      <c r="F186" s="48">
        <f t="shared" si="204"/>
        <v>21.7</v>
      </c>
      <c r="G186" s="48">
        <f t="shared" si="204"/>
        <v>21.1</v>
      </c>
      <c r="H186" s="48">
        <f t="shared" si="204"/>
        <v>23.1</v>
      </c>
      <c r="I186" s="48">
        <f t="shared" si="204"/>
        <v>25.7</v>
      </c>
      <c r="J186" s="48">
        <f t="shared" si="204"/>
        <v>23.8</v>
      </c>
      <c r="K186" s="48">
        <f t="shared" si="204"/>
        <v>24.5</v>
      </c>
      <c r="L186" s="48">
        <f t="shared" si="204"/>
        <v>23.1</v>
      </c>
      <c r="M186" s="48">
        <f t="shared" si="204"/>
        <v>23.7</v>
      </c>
      <c r="N186" s="48">
        <f t="shared" si="204"/>
        <v>21.4</v>
      </c>
      <c r="O186" s="48">
        <f t="shared" si="204"/>
        <v>22.5</v>
      </c>
      <c r="P186" s="48">
        <f t="shared" si="204"/>
        <v>22.5625</v>
      </c>
      <c r="Q186" s="49">
        <f>$O$186+(2/8)*($W$186-$O$186)</f>
        <v>22.625</v>
      </c>
      <c r="R186" s="49">
        <f>$O$186+(3/8)*($W$186-$O$186)</f>
        <v>22.6875</v>
      </c>
      <c r="S186" s="49">
        <f>$O$186+(4/8)*($W$186-$O$186)</f>
        <v>22.75</v>
      </c>
      <c r="T186" s="49">
        <f>$O$186+(5/8)*($W$186-$O$186)</f>
        <v>22.8125</v>
      </c>
      <c r="U186" s="49">
        <f>$O$186+(6/8)*($W$186-$O$186)</f>
        <v>22.875</v>
      </c>
      <c r="V186" s="49">
        <f>$O$186+(7/8)*($W$186-$O$186)</f>
        <v>22.9375</v>
      </c>
      <c r="W186" s="48">
        <f>W19</f>
        <v>23</v>
      </c>
      <c r="X186" s="48">
        <f>X19</f>
        <v>24.150000000000002</v>
      </c>
      <c r="Y186" s="57"/>
      <c r="Z186" s="57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121"/>
      <c r="AN186" s="121"/>
      <c r="AO186" s="121"/>
      <c r="AP186" s="121"/>
      <c r="AQ186" s="57"/>
      <c r="AR186" s="57"/>
      <c r="AS186" s="57"/>
      <c r="AT186" s="57"/>
      <c r="AU186" s="57"/>
      <c r="AV186" s="57"/>
      <c r="AW186" s="57"/>
      <c r="AX186" s="57"/>
      <c r="AY186" s="57"/>
      <c r="AZ186" s="57"/>
      <c r="BA186" s="57"/>
      <c r="BB186" s="57"/>
      <c r="BC186" s="57"/>
      <c r="BD186" s="57"/>
      <c r="BE186" s="57"/>
      <c r="BF186" s="57"/>
      <c r="BG186" s="57"/>
      <c r="BH186" s="57"/>
      <c r="BI186" s="57"/>
      <c r="BJ186" s="57"/>
      <c r="BK186" s="57"/>
      <c r="BL186" s="57"/>
      <c r="BM186" s="57"/>
      <c r="BN186" s="57"/>
      <c r="BO186" s="57"/>
      <c r="BP186" s="57"/>
      <c r="BQ186" s="57"/>
      <c r="BR186" s="57"/>
    </row>
    <row r="187" spans="1:70" s="3" customFormat="1" x14ac:dyDescent="0.3">
      <c r="A187" s="16"/>
      <c r="B187" s="47" t="s">
        <v>297</v>
      </c>
      <c r="C187" s="16">
        <f t="shared" ref="C187:O187" si="205">C186*C66/1000</f>
        <v>166717.71599999999</v>
      </c>
      <c r="D187" s="47">
        <f t="shared" si="205"/>
        <v>168716.32830000002</v>
      </c>
      <c r="E187" s="47">
        <f t="shared" si="205"/>
        <v>166217.70240000001</v>
      </c>
      <c r="F187" s="47">
        <f t="shared" si="205"/>
        <v>168339.81150000001</v>
      </c>
      <c r="G187" s="47">
        <f t="shared" si="205"/>
        <v>165022.38260000001</v>
      </c>
      <c r="H187" s="47">
        <f t="shared" si="205"/>
        <v>181974.82380000001</v>
      </c>
      <c r="I187" s="47">
        <f t="shared" si="205"/>
        <v>203464.04729999998</v>
      </c>
      <c r="J187" s="47">
        <f t="shared" si="205"/>
        <v>189169.23059999998</v>
      </c>
      <c r="K187" s="47">
        <f t="shared" si="205"/>
        <v>195864.24549999999</v>
      </c>
      <c r="L187" s="47">
        <f t="shared" si="205"/>
        <v>185791.82160000002</v>
      </c>
      <c r="M187" s="47">
        <f t="shared" si="205"/>
        <v>191464.05240000002</v>
      </c>
      <c r="N187" s="47">
        <f t="shared" si="205"/>
        <v>173637.60979999998</v>
      </c>
      <c r="O187" s="47">
        <f t="shared" si="205"/>
        <v>183518.79749999999</v>
      </c>
      <c r="P187" s="47">
        <f t="shared" ref="P187:V187" si="206">P186*P66/1000</f>
        <v>184952.14531250001</v>
      </c>
      <c r="Q187" s="47">
        <f t="shared" si="206"/>
        <v>0</v>
      </c>
      <c r="R187" s="47">
        <f t="shared" si="206"/>
        <v>0</v>
      </c>
      <c r="S187" s="47">
        <f t="shared" si="206"/>
        <v>0</v>
      </c>
      <c r="T187" s="47">
        <f t="shared" si="206"/>
        <v>0</v>
      </c>
      <c r="U187" s="47">
        <f t="shared" si="206"/>
        <v>0</v>
      </c>
      <c r="V187" s="47">
        <f t="shared" si="206"/>
        <v>0</v>
      </c>
      <c r="W187" s="47">
        <f>W186*W66/1000</f>
        <v>192459.4</v>
      </c>
      <c r="X187" s="47">
        <f>X186*X66/1000</f>
        <v>202082.37000000002</v>
      </c>
      <c r="Y187" s="74"/>
      <c r="Z187" s="74"/>
      <c r="AM187" s="74"/>
      <c r="AN187" s="74"/>
      <c r="AO187" s="74"/>
      <c r="AP187" s="74"/>
      <c r="AQ187" s="74"/>
      <c r="AR187" s="74"/>
      <c r="AS187" s="74"/>
      <c r="AT187" s="74"/>
      <c r="AU187" s="74"/>
      <c r="AV187" s="74"/>
      <c r="AW187" s="74"/>
      <c r="AX187" s="74"/>
      <c r="AY187" s="74"/>
      <c r="AZ187" s="74"/>
      <c r="BA187" s="74"/>
      <c r="BB187" s="74"/>
      <c r="BC187" s="74"/>
      <c r="BD187" s="74"/>
      <c r="BE187" s="74"/>
      <c r="BF187" s="74"/>
      <c r="BG187" s="74"/>
      <c r="BH187" s="74"/>
      <c r="BI187" s="74"/>
      <c r="BJ187" s="74"/>
      <c r="BK187" s="74"/>
      <c r="BL187" s="74"/>
      <c r="BM187" s="74"/>
      <c r="BN187" s="74"/>
      <c r="BO187" s="74"/>
      <c r="BP187" s="74"/>
      <c r="BQ187" s="74"/>
      <c r="BR187" s="74"/>
    </row>
    <row r="188" spans="1:70" s="6" customFormat="1" x14ac:dyDescent="0.3">
      <c r="A188" s="205"/>
      <c r="B188" s="181" t="s">
        <v>298</v>
      </c>
      <c r="C188" s="205">
        <f t="shared" ref="C188:O188" si="207">(C185-C187)/C184</f>
        <v>-1404.5483832335328</v>
      </c>
      <c r="D188" s="181">
        <f t="shared" si="207"/>
        <v>-1154.672052486188</v>
      </c>
      <c r="E188" s="181">
        <f t="shared" si="207"/>
        <v>-2166.5556363636369</v>
      </c>
      <c r="F188" s="181">
        <f t="shared" si="207"/>
        <v>-2063.8556752411573</v>
      </c>
      <c r="G188" s="181">
        <f t="shared" si="207"/>
        <v>-1294.5178197183102</v>
      </c>
      <c r="H188" s="181">
        <f t="shared" si="207"/>
        <v>-1896.387971098266</v>
      </c>
      <c r="I188" s="181">
        <f t="shared" si="207"/>
        <v>-2904.7545462962958</v>
      </c>
      <c r="J188" s="181">
        <f t="shared" si="207"/>
        <v>-3250.516863157894</v>
      </c>
      <c r="K188" s="181">
        <f t="shared" si="207"/>
        <v>-2742.9450000000002</v>
      </c>
      <c r="L188" s="181">
        <f t="shared" si="207"/>
        <v>-2305.333981981983</v>
      </c>
      <c r="M188" s="181">
        <f t="shared" si="207"/>
        <v>-2800.3653376623379</v>
      </c>
      <c r="N188" s="181">
        <f t="shared" si="207"/>
        <v>-5224.6870547263661</v>
      </c>
      <c r="O188" s="181">
        <f t="shared" si="207"/>
        <v>-2914.2343965517239</v>
      </c>
      <c r="P188" s="181">
        <f t="shared" ref="P188:V188" si="208">(P185-P187)/P184</f>
        <v>-2655.0047643442626</v>
      </c>
      <c r="Q188" s="181" t="e">
        <f t="shared" si="208"/>
        <v>#DIV/0!</v>
      </c>
      <c r="R188" s="181" t="e">
        <f t="shared" si="208"/>
        <v>#DIV/0!</v>
      </c>
      <c r="S188" s="181" t="e">
        <f t="shared" si="208"/>
        <v>#DIV/0!</v>
      </c>
      <c r="T188" s="181" t="e">
        <f t="shared" si="208"/>
        <v>#DIV/0!</v>
      </c>
      <c r="U188" s="181" t="e">
        <f t="shared" si="208"/>
        <v>#DIV/0!</v>
      </c>
      <c r="V188" s="181" t="e">
        <f t="shared" si="208"/>
        <v>#DIV/0!</v>
      </c>
      <c r="W188" s="181">
        <f>(W185-W187)/W184</f>
        <v>-4018.5315315315315</v>
      </c>
      <c r="X188" s="181">
        <f>(X185-X187)/X184</f>
        <v>-4390.0747747747755</v>
      </c>
      <c r="Y188" s="303"/>
      <c r="Z188" s="303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57"/>
      <c r="AN188" s="57"/>
      <c r="AO188" s="57"/>
      <c r="AP188" s="57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1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1"/>
      <c r="BO188" s="121"/>
      <c r="BP188" s="121"/>
      <c r="BQ188" s="121"/>
      <c r="BR188" s="121"/>
    </row>
    <row r="189" spans="1:70" s="6" customFormat="1" x14ac:dyDescent="0.3">
      <c r="A189" s="144"/>
      <c r="B189" s="70" t="s">
        <v>392</v>
      </c>
      <c r="C189" s="418">
        <v>1099</v>
      </c>
      <c r="D189" s="244">
        <v>1054</v>
      </c>
      <c r="E189" s="244">
        <v>1015</v>
      </c>
      <c r="F189" s="244">
        <v>973</v>
      </c>
      <c r="G189" s="244">
        <v>978</v>
      </c>
      <c r="H189" s="244">
        <v>990</v>
      </c>
      <c r="I189" s="244">
        <v>991</v>
      </c>
      <c r="J189" s="244">
        <v>997</v>
      </c>
      <c r="K189" s="244">
        <v>998</v>
      </c>
      <c r="L189" s="244">
        <v>993</v>
      </c>
      <c r="M189" s="244">
        <v>1027</v>
      </c>
      <c r="N189" s="244">
        <v>1027</v>
      </c>
      <c r="O189" s="244">
        <v>1027</v>
      </c>
      <c r="P189" s="244">
        <v>1030</v>
      </c>
      <c r="Q189" s="244"/>
      <c r="R189" s="244"/>
      <c r="S189" s="244"/>
      <c r="T189" s="244"/>
      <c r="U189" s="244"/>
      <c r="V189" s="244"/>
      <c r="W189" s="247">
        <f>AVERAGE(N189:P189)</f>
        <v>1028</v>
      </c>
      <c r="X189" s="54">
        <f>W189</f>
        <v>1028</v>
      </c>
      <c r="Y189" s="303"/>
      <c r="Z189" s="303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57"/>
      <c r="AN189" s="57"/>
      <c r="AO189" s="57"/>
      <c r="AP189" s="57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1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1"/>
      <c r="BO189" s="121"/>
      <c r="BP189" s="121"/>
      <c r="BQ189" s="121"/>
      <c r="BR189" s="121"/>
    </row>
    <row r="190" spans="1:70" s="3" customFormat="1" x14ac:dyDescent="0.3">
      <c r="A190" s="16"/>
      <c r="B190" s="47" t="s">
        <v>139</v>
      </c>
      <c r="C190" s="16">
        <f t="shared" ref="C190:V190" si="209">C189*$F$57</f>
        <v>1099</v>
      </c>
      <c r="D190" s="47">
        <f t="shared" si="209"/>
        <v>1054</v>
      </c>
      <c r="E190" s="47">
        <f t="shared" si="209"/>
        <v>1015</v>
      </c>
      <c r="F190" s="47">
        <f t="shared" si="209"/>
        <v>973</v>
      </c>
      <c r="G190" s="47">
        <f t="shared" si="209"/>
        <v>978</v>
      </c>
      <c r="H190" s="47">
        <f t="shared" si="209"/>
        <v>990</v>
      </c>
      <c r="I190" s="47">
        <f t="shared" si="209"/>
        <v>991</v>
      </c>
      <c r="J190" s="47">
        <f t="shared" si="209"/>
        <v>997</v>
      </c>
      <c r="K190" s="47">
        <f t="shared" si="209"/>
        <v>998</v>
      </c>
      <c r="L190" s="47">
        <f t="shared" si="209"/>
        <v>993</v>
      </c>
      <c r="M190" s="47">
        <f t="shared" si="209"/>
        <v>1027</v>
      </c>
      <c r="N190" s="47">
        <f t="shared" si="209"/>
        <v>1027</v>
      </c>
      <c r="O190" s="47">
        <f t="shared" si="209"/>
        <v>1027</v>
      </c>
      <c r="P190" s="47">
        <f t="shared" si="209"/>
        <v>1030</v>
      </c>
      <c r="Q190" s="47">
        <f t="shared" si="209"/>
        <v>0</v>
      </c>
      <c r="R190" s="47">
        <f t="shared" si="209"/>
        <v>0</v>
      </c>
      <c r="S190" s="47">
        <f t="shared" si="209"/>
        <v>0</v>
      </c>
      <c r="T190" s="47">
        <f t="shared" si="209"/>
        <v>0</v>
      </c>
      <c r="U190" s="47">
        <f t="shared" si="209"/>
        <v>0</v>
      </c>
      <c r="V190" s="47">
        <f t="shared" si="209"/>
        <v>0</v>
      </c>
      <c r="W190" s="47">
        <f>AVERAGE(N190:P190)</f>
        <v>1028</v>
      </c>
      <c r="X190" s="47">
        <f>W190</f>
        <v>1028</v>
      </c>
      <c r="Y190" s="74"/>
      <c r="Z190" s="74"/>
      <c r="AM190" s="74"/>
      <c r="AN190" s="74"/>
      <c r="AO190" s="74"/>
      <c r="AP190" s="74"/>
      <c r="AQ190" s="74"/>
      <c r="AR190" s="74"/>
      <c r="AS190" s="74"/>
      <c r="AT190" s="74"/>
      <c r="AU190" s="74"/>
      <c r="AV190" s="74"/>
      <c r="AW190" s="74"/>
      <c r="AX190" s="74"/>
      <c r="AY190" s="74"/>
      <c r="AZ190" s="74"/>
      <c r="BA190" s="74"/>
      <c r="BB190" s="74"/>
      <c r="BC190" s="74"/>
      <c r="BD190" s="74"/>
      <c r="BE190" s="74"/>
      <c r="BF190" s="74"/>
      <c r="BG190" s="74"/>
      <c r="BH190" s="74"/>
      <c r="BI190" s="74"/>
      <c r="BJ190" s="74"/>
      <c r="BK190" s="74"/>
      <c r="BL190" s="74"/>
      <c r="BM190" s="74"/>
      <c r="BN190" s="74"/>
      <c r="BO190" s="74"/>
      <c r="BP190" s="74"/>
      <c r="BQ190" s="74"/>
      <c r="BR190" s="74"/>
    </row>
    <row r="191" spans="1:70" s="4" customFormat="1" x14ac:dyDescent="0.3">
      <c r="A191" s="14"/>
      <c r="B191" s="48" t="s">
        <v>2</v>
      </c>
      <c r="C191" s="56">
        <v>20.8</v>
      </c>
      <c r="D191" s="57">
        <v>27.1</v>
      </c>
      <c r="E191" s="57">
        <v>18.5</v>
      </c>
      <c r="F191" s="57">
        <v>20.3</v>
      </c>
      <c r="G191" s="57">
        <v>22.4</v>
      </c>
      <c r="H191" s="57">
        <v>21.4</v>
      </c>
      <c r="I191" s="57">
        <v>22.3</v>
      </c>
      <c r="J191" s="57">
        <v>18.600000000000001</v>
      </c>
      <c r="K191" s="57">
        <v>21.3</v>
      </c>
      <c r="L191" s="57">
        <v>15.4</v>
      </c>
      <c r="M191" s="57">
        <v>19.5</v>
      </c>
      <c r="N191" s="57">
        <v>8.8000000000000007</v>
      </c>
      <c r="O191" s="57">
        <v>17.899999999999999</v>
      </c>
      <c r="P191" s="57">
        <v>16.8</v>
      </c>
      <c r="Q191" s="57"/>
      <c r="R191" s="57"/>
      <c r="S191" s="57"/>
      <c r="T191" s="57"/>
      <c r="U191" s="57"/>
      <c r="V191" s="57"/>
      <c r="W191" s="57">
        <v>14.1</v>
      </c>
      <c r="X191" s="48">
        <f>W191*(1+'Hypothèses production'!B7)</f>
        <v>14.1</v>
      </c>
      <c r="Y191" s="57"/>
      <c r="Z191" s="57"/>
      <c r="AK191" s="8"/>
      <c r="AL191" s="8"/>
      <c r="AM191" s="240"/>
      <c r="AN191" s="240"/>
      <c r="AO191" s="240"/>
      <c r="AP191" s="240"/>
      <c r="AQ191" s="57"/>
      <c r="AR191" s="57"/>
      <c r="AS191" s="57"/>
      <c r="AT191" s="57"/>
      <c r="AU191" s="57"/>
      <c r="AV191" s="57"/>
      <c r="AW191" s="57"/>
      <c r="AX191" s="57"/>
      <c r="AY191" s="57"/>
      <c r="AZ191" s="57"/>
      <c r="BA191" s="57"/>
      <c r="BB191" s="57"/>
      <c r="BC191" s="57"/>
      <c r="BD191" s="57"/>
      <c r="BE191" s="57"/>
      <c r="BF191" s="57"/>
      <c r="BG191" s="57"/>
      <c r="BH191" s="57"/>
      <c r="BI191" s="57"/>
      <c r="BJ191" s="57"/>
      <c r="BK191" s="57"/>
      <c r="BL191" s="57"/>
      <c r="BM191" s="57"/>
      <c r="BN191" s="57"/>
      <c r="BO191" s="57"/>
      <c r="BP191" s="57"/>
      <c r="BQ191" s="57"/>
      <c r="BR191" s="57"/>
    </row>
    <row r="192" spans="1:70" s="3" customFormat="1" x14ac:dyDescent="0.3">
      <c r="A192" s="16" t="s">
        <v>9</v>
      </c>
      <c r="B192" s="47" t="s">
        <v>138</v>
      </c>
      <c r="C192" s="16">
        <f t="shared" ref="C192:V192" si="210">C191*C190</f>
        <v>22859.200000000001</v>
      </c>
      <c r="D192" s="47">
        <f t="shared" si="210"/>
        <v>28563.4</v>
      </c>
      <c r="E192" s="47">
        <f t="shared" si="210"/>
        <v>18777.5</v>
      </c>
      <c r="F192" s="47">
        <f t="shared" si="210"/>
        <v>19751.900000000001</v>
      </c>
      <c r="G192" s="47">
        <f t="shared" si="210"/>
        <v>21907.199999999997</v>
      </c>
      <c r="H192" s="47">
        <f t="shared" si="210"/>
        <v>21186</v>
      </c>
      <c r="I192" s="47">
        <f t="shared" si="210"/>
        <v>22099.3</v>
      </c>
      <c r="J192" s="47">
        <f t="shared" si="210"/>
        <v>18544.2</v>
      </c>
      <c r="K192" s="47">
        <f t="shared" si="210"/>
        <v>21257.4</v>
      </c>
      <c r="L192" s="47">
        <f t="shared" si="210"/>
        <v>15292.2</v>
      </c>
      <c r="M192" s="47">
        <f t="shared" si="210"/>
        <v>20026.5</v>
      </c>
      <c r="N192" s="47">
        <f t="shared" si="210"/>
        <v>9037.6</v>
      </c>
      <c r="O192" s="47">
        <f t="shared" si="210"/>
        <v>18383.3</v>
      </c>
      <c r="P192" s="47">
        <f t="shared" si="210"/>
        <v>17304</v>
      </c>
      <c r="Q192" s="47">
        <f t="shared" si="210"/>
        <v>0</v>
      </c>
      <c r="R192" s="47">
        <f t="shared" si="210"/>
        <v>0</v>
      </c>
      <c r="S192" s="47">
        <f t="shared" si="210"/>
        <v>0</v>
      </c>
      <c r="T192" s="47">
        <f t="shared" si="210"/>
        <v>0</v>
      </c>
      <c r="U192" s="47">
        <f t="shared" si="210"/>
        <v>0</v>
      </c>
      <c r="V192" s="47">
        <f t="shared" si="210"/>
        <v>0</v>
      </c>
      <c r="W192" s="47">
        <f t="shared" ref="W192:X192" si="211">W191*W190</f>
        <v>14494.8</v>
      </c>
      <c r="X192" s="47">
        <f t="shared" si="211"/>
        <v>14494.8</v>
      </c>
      <c r="Y192" s="74"/>
      <c r="Z192" s="285"/>
      <c r="AM192" s="74"/>
      <c r="AN192" s="74"/>
      <c r="AO192" s="74"/>
      <c r="AP192" s="74"/>
      <c r="AQ192" s="74"/>
      <c r="AR192" s="74"/>
      <c r="AS192" s="74"/>
      <c r="AT192" s="74"/>
      <c r="AU192" s="74"/>
      <c r="AV192" s="509"/>
      <c r="AW192" s="232"/>
      <c r="AX192" s="74"/>
      <c r="AY192" s="74"/>
      <c r="AZ192" s="74"/>
      <c r="BA192" s="74"/>
      <c r="BB192" s="74"/>
      <c r="BC192" s="74"/>
      <c r="BD192" s="74"/>
      <c r="BE192" s="74"/>
      <c r="BF192" s="74"/>
      <c r="BG192" s="74"/>
      <c r="BH192" s="74"/>
      <c r="BI192" s="74"/>
      <c r="BJ192" s="74"/>
      <c r="BK192" s="74"/>
      <c r="BL192" s="74"/>
      <c r="BM192" s="74"/>
      <c r="BN192" s="74"/>
      <c r="BO192" s="74"/>
      <c r="BP192" s="74"/>
      <c r="BQ192" s="74"/>
      <c r="BR192" s="74"/>
    </row>
    <row r="193" spans="1:70" s="8" customFormat="1" x14ac:dyDescent="0.3">
      <c r="A193" s="20"/>
      <c r="B193" s="48" t="s">
        <v>296</v>
      </c>
      <c r="C193" s="20">
        <f t="shared" ref="C193:P193" si="212">C20</f>
        <v>4.9000000000000004</v>
      </c>
      <c r="D193" s="49">
        <f t="shared" si="212"/>
        <v>4.2</v>
      </c>
      <c r="E193" s="49">
        <f t="shared" si="212"/>
        <v>3.6</v>
      </c>
      <c r="F193" s="49">
        <f t="shared" si="212"/>
        <v>3.6</v>
      </c>
      <c r="G193" s="49">
        <f t="shared" si="212"/>
        <v>3.6</v>
      </c>
      <c r="H193" s="49">
        <f t="shared" si="212"/>
        <v>3.4</v>
      </c>
      <c r="I193" s="49">
        <f t="shared" si="212"/>
        <v>3.3</v>
      </c>
      <c r="J193" s="49">
        <f t="shared" si="212"/>
        <v>2.9</v>
      </c>
      <c r="K193" s="49">
        <f t="shared" si="212"/>
        <v>2.7</v>
      </c>
      <c r="L193" s="49">
        <f t="shared" si="212"/>
        <v>2.6</v>
      </c>
      <c r="M193" s="49">
        <f t="shared" si="212"/>
        <v>2.7</v>
      </c>
      <c r="N193" s="49">
        <f t="shared" si="212"/>
        <v>2.7</v>
      </c>
      <c r="O193" s="49">
        <f t="shared" si="212"/>
        <v>2.7</v>
      </c>
      <c r="P193" s="49">
        <f t="shared" si="212"/>
        <v>2.7375000000000003</v>
      </c>
      <c r="Q193" s="49">
        <f>O193+(2/8)*(W193-O193)</f>
        <v>2.7750000000000004</v>
      </c>
      <c r="R193" s="49">
        <f>O193+(3/8)*(W193-O193)</f>
        <v>2.8125</v>
      </c>
      <c r="S193" s="49">
        <f>O193+(4/8)*(W193-O193)</f>
        <v>2.85</v>
      </c>
      <c r="T193" s="49">
        <f>O193+(5/8)*(W193-O193)</f>
        <v>2.8875000000000002</v>
      </c>
      <c r="U193" s="49">
        <f>O193+(6/8)*(W193-O193)</f>
        <v>2.9249999999999998</v>
      </c>
      <c r="V193" s="49">
        <f>O193+(7/8)*(W193-O193)</f>
        <v>2.9624999999999999</v>
      </c>
      <c r="W193" s="49">
        <f>W20</f>
        <v>3</v>
      </c>
      <c r="X193" s="49">
        <f>X20</f>
        <v>3.1500000000000004</v>
      </c>
      <c r="Y193" s="240"/>
      <c r="Z193" s="240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121"/>
      <c r="AN193" s="121"/>
      <c r="AO193" s="121"/>
      <c r="AP193" s="121"/>
      <c r="AQ193" s="240"/>
      <c r="AR193" s="240"/>
      <c r="AS193" s="240"/>
      <c r="AT193" s="240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</row>
    <row r="194" spans="1:70" s="3" customFormat="1" x14ac:dyDescent="0.3">
      <c r="A194" s="16"/>
      <c r="B194" s="47" t="s">
        <v>297</v>
      </c>
      <c r="C194" s="16">
        <f t="shared" ref="C194:O194" si="213">C193*C66/1000</f>
        <v>37132.582200000004</v>
      </c>
      <c r="D194" s="47">
        <f t="shared" si="213"/>
        <v>32063.7366</v>
      </c>
      <c r="E194" s="47">
        <f t="shared" si="213"/>
        <v>27702.950400000002</v>
      </c>
      <c r="F194" s="47">
        <f t="shared" si="213"/>
        <v>27927.342000000001</v>
      </c>
      <c r="G194" s="47">
        <f t="shared" si="213"/>
        <v>28155.477600000002</v>
      </c>
      <c r="H194" s="47">
        <f t="shared" si="213"/>
        <v>26784.173199999997</v>
      </c>
      <c r="I194" s="47">
        <f t="shared" si="213"/>
        <v>26125.733700000001</v>
      </c>
      <c r="J194" s="47">
        <f t="shared" si="213"/>
        <v>23050.032299999999</v>
      </c>
      <c r="K194" s="47">
        <f t="shared" si="213"/>
        <v>21585.0393</v>
      </c>
      <c r="L194" s="47">
        <f t="shared" si="213"/>
        <v>20911.633600000001</v>
      </c>
      <c r="M194" s="47">
        <f t="shared" si="213"/>
        <v>21812.360400000001</v>
      </c>
      <c r="N194" s="47">
        <f t="shared" si="213"/>
        <v>21907.548900000002</v>
      </c>
      <c r="O194" s="47">
        <f t="shared" si="213"/>
        <v>22022.255700000002</v>
      </c>
      <c r="P194" s="47">
        <f t="shared" ref="P194:V194" si="214">P193*P66/1000</f>
        <v>22440.177187500005</v>
      </c>
      <c r="Q194" s="47">
        <f t="shared" si="214"/>
        <v>0</v>
      </c>
      <c r="R194" s="47">
        <f t="shared" si="214"/>
        <v>0</v>
      </c>
      <c r="S194" s="47">
        <f t="shared" si="214"/>
        <v>0</v>
      </c>
      <c r="T194" s="47">
        <f t="shared" si="214"/>
        <v>0</v>
      </c>
      <c r="U194" s="47">
        <f t="shared" si="214"/>
        <v>0</v>
      </c>
      <c r="V194" s="47">
        <f t="shared" si="214"/>
        <v>0</v>
      </c>
      <c r="W194" s="47">
        <f>W193*W66/1000</f>
        <v>25103.4</v>
      </c>
      <c r="X194" s="47">
        <f>X193*X66/1000</f>
        <v>26358.570000000003</v>
      </c>
      <c r="Y194" s="74"/>
      <c r="Z194" s="74"/>
      <c r="AK194"/>
      <c r="AL194"/>
      <c r="AM194" s="90"/>
      <c r="AN194" s="90"/>
      <c r="AO194" s="90"/>
      <c r="AP194" s="90"/>
      <c r="AQ194" s="74"/>
      <c r="AR194" s="74"/>
      <c r="AS194" s="74"/>
      <c r="AT194" s="74"/>
      <c r="AU194" s="74"/>
      <c r="AV194" s="74"/>
      <c r="AW194" s="74"/>
      <c r="AX194" s="74"/>
      <c r="AY194" s="74"/>
      <c r="AZ194" s="74"/>
      <c r="BA194" s="74"/>
      <c r="BB194" s="74"/>
      <c r="BC194" s="74"/>
      <c r="BD194" s="74"/>
      <c r="BE194" s="74"/>
      <c r="BF194" s="74"/>
      <c r="BG194" s="74"/>
      <c r="BH194" s="74"/>
      <c r="BI194" s="74"/>
      <c r="BJ194" s="74"/>
      <c r="BK194" s="74"/>
      <c r="BL194" s="74"/>
      <c r="BM194" s="74"/>
      <c r="BN194" s="74"/>
      <c r="BO194" s="74"/>
      <c r="BP194" s="74"/>
      <c r="BQ194" s="74"/>
      <c r="BR194" s="74"/>
    </row>
    <row r="195" spans="1:70" s="6" customFormat="1" x14ac:dyDescent="0.3">
      <c r="A195" s="18"/>
      <c r="B195" s="203" t="s">
        <v>298</v>
      </c>
      <c r="C195" s="205">
        <f t="shared" ref="C195:O195" si="215">(C192-C194)/C191</f>
        <v>-686.2202980769232</v>
      </c>
      <c r="D195" s="181">
        <f t="shared" si="215"/>
        <v>-129.16371217712171</v>
      </c>
      <c r="E195" s="181">
        <f t="shared" si="215"/>
        <v>-482.45677837837849</v>
      </c>
      <c r="F195" s="181">
        <f t="shared" si="215"/>
        <v>-402.73113300492605</v>
      </c>
      <c r="G195" s="181">
        <f t="shared" si="215"/>
        <v>-278.94096428571453</v>
      </c>
      <c r="H195" s="181">
        <f t="shared" si="215"/>
        <v>-261.59687850467282</v>
      </c>
      <c r="I195" s="181">
        <f t="shared" si="215"/>
        <v>-180.55756502242158</v>
      </c>
      <c r="J195" s="181">
        <f t="shared" si="215"/>
        <v>-242.24904838709665</v>
      </c>
      <c r="K195" s="181">
        <f t="shared" si="215"/>
        <v>-15.382126760563329</v>
      </c>
      <c r="L195" s="181">
        <f t="shared" si="215"/>
        <v>-364.89828571428575</v>
      </c>
      <c r="M195" s="181">
        <f t="shared" si="215"/>
        <v>-91.58258461538469</v>
      </c>
      <c r="N195" s="181">
        <f t="shared" si="215"/>
        <v>-1462.4941931818182</v>
      </c>
      <c r="O195" s="181">
        <f t="shared" si="215"/>
        <v>-203.29361452513982</v>
      </c>
      <c r="P195" s="181">
        <f t="shared" ref="P195:V195" si="216">(P192-P194)/P191</f>
        <v>-305.724832589286</v>
      </c>
      <c r="Q195" s="181" t="e">
        <f t="shared" si="216"/>
        <v>#DIV/0!</v>
      </c>
      <c r="R195" s="181" t="e">
        <f t="shared" si="216"/>
        <v>#DIV/0!</v>
      </c>
      <c r="S195" s="181" t="e">
        <f t="shared" si="216"/>
        <v>#DIV/0!</v>
      </c>
      <c r="T195" s="181" t="e">
        <f t="shared" si="216"/>
        <v>#DIV/0!</v>
      </c>
      <c r="U195" s="181" t="e">
        <f t="shared" si="216"/>
        <v>#DIV/0!</v>
      </c>
      <c r="V195" s="181" t="e">
        <f t="shared" si="216"/>
        <v>#DIV/0!</v>
      </c>
      <c r="W195" s="181">
        <f>(W192-W194)/W191</f>
        <v>-752.38297872340445</v>
      </c>
      <c r="X195" s="181">
        <f>(X192-X194)/X191</f>
        <v>-841.40212765957483</v>
      </c>
      <c r="Y195" s="303"/>
      <c r="Z195" s="303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/>
      <c r="AM195" s="90"/>
      <c r="AN195" s="90"/>
      <c r="AO195" s="90"/>
      <c r="AP195" s="90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1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1"/>
      <c r="BO195" s="121"/>
      <c r="BP195" s="121"/>
      <c r="BQ195" s="121"/>
      <c r="BR195" s="121"/>
    </row>
    <row r="196" spans="1:70" s="6" customFormat="1" x14ac:dyDescent="0.3">
      <c r="A196" s="333" t="s">
        <v>596</v>
      </c>
      <c r="B196" s="334"/>
      <c r="C196" s="537">
        <f t="shared" ref="C196:P196" si="217">(C192+C185+C178+C171)/(C169+C176+C183+C190)</f>
        <v>18.790018681611954</v>
      </c>
      <c r="D196" s="538">
        <f t="shared" si="217"/>
        <v>21.26670819490587</v>
      </c>
      <c r="E196" s="538">
        <f t="shared" si="217"/>
        <v>19.944710218239631</v>
      </c>
      <c r="F196" s="538">
        <f t="shared" si="217"/>
        <v>18.694197670048855</v>
      </c>
      <c r="G196" s="538">
        <f t="shared" si="217"/>
        <v>22.568127490039846</v>
      </c>
      <c r="H196" s="538">
        <f t="shared" si="217"/>
        <v>22.089196037779313</v>
      </c>
      <c r="I196" s="538">
        <f t="shared" si="217"/>
        <v>17.844452998691199</v>
      </c>
      <c r="J196" s="538">
        <f t="shared" si="217"/>
        <v>19.91887024780668</v>
      </c>
      <c r="K196" s="538">
        <f t="shared" si="217"/>
        <v>17.930614921688139</v>
      </c>
      <c r="L196" s="538">
        <f t="shared" si="217"/>
        <v>18.729147492395288</v>
      </c>
      <c r="M196" s="538">
        <f t="shared" si="217"/>
        <v>16.064218102166944</v>
      </c>
      <c r="N196" s="538">
        <f t="shared" si="217"/>
        <v>8.7627024489476568</v>
      </c>
      <c r="O196" s="538">
        <f t="shared" si="217"/>
        <v>17.841565636290646</v>
      </c>
      <c r="P196" s="538">
        <f t="shared" si="217"/>
        <v>18.446204949343965</v>
      </c>
      <c r="Q196" s="538"/>
      <c r="R196" s="538"/>
      <c r="S196" s="538"/>
      <c r="T196" s="538"/>
      <c r="U196" s="538"/>
      <c r="V196" s="334"/>
      <c r="W196" s="538">
        <f>(W192+W185+W178+W171)/(W169+W176+W183+W190)</f>
        <v>14.481458232737808</v>
      </c>
      <c r="X196" s="539">
        <f>(X192+X185+X178+X171)/(X169+X176+X183+X190)</f>
        <v>14.481458232737808</v>
      </c>
      <c r="Y196" s="303"/>
      <c r="Z196" s="303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/>
      <c r="AM196" s="90"/>
      <c r="AN196" s="90"/>
      <c r="AO196" s="90"/>
      <c r="AP196" s="90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1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1"/>
      <c r="BO196" s="121"/>
      <c r="BP196" s="121"/>
      <c r="BQ196" s="121"/>
      <c r="BR196" s="121"/>
    </row>
    <row r="197" spans="1:70" x14ac:dyDescent="0.3">
      <c r="A197" s="16" t="s">
        <v>13</v>
      </c>
      <c r="B197" s="47" t="s">
        <v>3</v>
      </c>
      <c r="C197" s="52">
        <v>147219</v>
      </c>
      <c r="D197" s="75">
        <v>155016</v>
      </c>
      <c r="E197" s="75">
        <v>140177</v>
      </c>
      <c r="F197" s="75">
        <v>135857</v>
      </c>
      <c r="G197" s="75">
        <v>138756</v>
      </c>
      <c r="H197" s="75">
        <v>145637</v>
      </c>
      <c r="I197" s="75">
        <v>148471</v>
      </c>
      <c r="J197" s="75">
        <v>147917</v>
      </c>
      <c r="K197" s="75">
        <v>146550</v>
      </c>
      <c r="L197" s="75">
        <v>142280</v>
      </c>
      <c r="M197" s="75">
        <v>139482</v>
      </c>
      <c r="N197" s="75">
        <v>135894</v>
      </c>
      <c r="O197" s="75">
        <v>133651</v>
      </c>
      <c r="P197" s="75">
        <v>124582</v>
      </c>
      <c r="Q197" s="75"/>
      <c r="R197" s="75"/>
      <c r="S197" s="75"/>
      <c r="T197" s="74"/>
      <c r="U197" s="74"/>
      <c r="V197" s="75"/>
      <c r="W197" s="74">
        <v>115611</v>
      </c>
      <c r="X197" s="47">
        <f>W197*(1+'Hypothèses production'!B8)</f>
        <v>115611</v>
      </c>
      <c r="Y197" s="74"/>
      <c r="Z197" s="285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M197" s="90"/>
      <c r="AN197" s="90"/>
      <c r="AO197" s="90"/>
      <c r="AP197" s="90"/>
      <c r="AQ197" s="90"/>
      <c r="AR197" s="90"/>
      <c r="AS197" s="74"/>
      <c r="AT197" s="74"/>
      <c r="AU197" s="74"/>
      <c r="AV197" s="509"/>
      <c r="AW197" s="232"/>
      <c r="AX197" s="90"/>
      <c r="AY197" s="90"/>
      <c r="AZ197" s="90"/>
      <c r="BA197" s="90"/>
      <c r="BB197" s="90"/>
      <c r="BC197" s="90"/>
      <c r="BD197" s="90"/>
      <c r="BE197" s="90"/>
      <c r="BF197" s="90"/>
      <c r="BG197" s="90"/>
      <c r="BH197" s="90"/>
      <c r="BI197" s="90"/>
      <c r="BJ197" s="90"/>
      <c r="BK197" s="90"/>
      <c r="BL197" s="90"/>
      <c r="BM197" s="90"/>
      <c r="BN197" s="90"/>
      <c r="BO197" s="90"/>
      <c r="BP197" s="90"/>
      <c r="BQ197" s="90"/>
      <c r="BR197" s="90"/>
    </row>
    <row r="198" spans="1:70" x14ac:dyDescent="0.3">
      <c r="A198" s="14" t="s">
        <v>14</v>
      </c>
      <c r="B198" s="48" t="s">
        <v>296</v>
      </c>
      <c r="C198" s="14">
        <f t="shared" ref="C198:P198" si="218">C21</f>
        <v>25.347511774425175</v>
      </c>
      <c r="D198" s="48">
        <f t="shared" si="218"/>
        <v>24.848940821218921</v>
      </c>
      <c r="E198" s="48">
        <f t="shared" si="218"/>
        <v>24.379226851426996</v>
      </c>
      <c r="F198" s="48">
        <f t="shared" si="218"/>
        <v>23.555226102969154</v>
      </c>
      <c r="G198" s="48">
        <f t="shared" si="218"/>
        <v>23.891552967691318</v>
      </c>
      <c r="H198" s="48">
        <f t="shared" si="218"/>
        <v>23.504527680437956</v>
      </c>
      <c r="I198" s="48">
        <f t="shared" si="218"/>
        <v>23.291689759126498</v>
      </c>
      <c r="J198" s="48">
        <f t="shared" si="218"/>
        <v>22.882608381978745</v>
      </c>
      <c r="K198" s="48">
        <f t="shared" si="218"/>
        <v>23.3</v>
      </c>
      <c r="L198" s="48">
        <f t="shared" si="218"/>
        <v>23</v>
      </c>
      <c r="M198" s="48">
        <f t="shared" si="218"/>
        <v>22.2</v>
      </c>
      <c r="N198" s="48">
        <f t="shared" si="218"/>
        <v>22.2</v>
      </c>
      <c r="O198" s="48">
        <f t="shared" si="218"/>
        <v>22.1</v>
      </c>
      <c r="P198" s="48">
        <f t="shared" si="218"/>
        <v>21.3</v>
      </c>
      <c r="Q198" s="49">
        <f>$P$198+(1/7)*($W$198-$P$198)</f>
        <v>21.114285714285714</v>
      </c>
      <c r="R198" s="49">
        <f>$P$198+(2/7)*($W$198-$P$198)</f>
        <v>20.928571428571431</v>
      </c>
      <c r="S198" s="49">
        <f>$P$198+(3/7)*($W$198-$P$198)</f>
        <v>20.742857142857144</v>
      </c>
      <c r="T198" s="49">
        <f>$P$198+(4/7)*($W$198-$P$198)</f>
        <v>20.557142857142857</v>
      </c>
      <c r="U198" s="49">
        <f>$P$198+(5/7)*($W$198-$P$198)</f>
        <v>20.37142857142857</v>
      </c>
      <c r="V198" s="49">
        <f>$P$198+(6/7)*($W$198-$P$198)</f>
        <v>20.185714285714287</v>
      </c>
      <c r="W198" s="48">
        <f>W21</f>
        <v>20</v>
      </c>
      <c r="X198" s="190">
        <f>X21</f>
        <v>18</v>
      </c>
      <c r="Y198" s="57"/>
      <c r="Z198" s="5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M198" s="90"/>
      <c r="AN198" s="90"/>
      <c r="AO198" s="90"/>
      <c r="AP198" s="90"/>
      <c r="AQ198" s="90"/>
      <c r="AR198" s="90"/>
      <c r="AS198" s="157"/>
      <c r="AT198" s="90"/>
      <c r="AU198" s="90"/>
      <c r="AV198" s="90"/>
      <c r="AW198" s="90"/>
      <c r="AX198" s="90"/>
      <c r="AY198" s="90"/>
      <c r="AZ198" s="90"/>
      <c r="BA198" s="90"/>
      <c r="BB198" s="90"/>
      <c r="BC198" s="90"/>
      <c r="BD198" s="90"/>
      <c r="BE198" s="90"/>
      <c r="BF198" s="90"/>
      <c r="BG198" s="90"/>
      <c r="BH198" s="90"/>
      <c r="BI198" s="90"/>
      <c r="BJ198" s="90"/>
      <c r="BK198" s="90"/>
      <c r="BL198" s="90"/>
      <c r="BM198" s="90"/>
      <c r="BN198" s="90"/>
      <c r="BO198" s="90"/>
      <c r="BP198" s="90"/>
      <c r="BQ198" s="90"/>
      <c r="BR198" s="90"/>
    </row>
    <row r="199" spans="1:70" x14ac:dyDescent="0.3">
      <c r="A199" s="16"/>
      <c r="B199" s="47" t="s">
        <v>297</v>
      </c>
      <c r="C199" s="16">
        <f t="shared" ref="C199:O199" si="219">C198*C66/1000</f>
        <v>192085.42133251237</v>
      </c>
      <c r="D199" s="47">
        <f t="shared" si="219"/>
        <v>189702.3555429884</v>
      </c>
      <c r="E199" s="47">
        <f t="shared" si="219"/>
        <v>187604.58673761951</v>
      </c>
      <c r="F199" s="47">
        <f t="shared" si="219"/>
        <v>182731.90424026299</v>
      </c>
      <c r="G199" s="47">
        <f t="shared" si="219"/>
        <v>186855.02344751288</v>
      </c>
      <c r="H199" s="47">
        <f t="shared" si="219"/>
        <v>185161.57069913071</v>
      </c>
      <c r="I199" s="47">
        <f t="shared" si="219"/>
        <v>184397.72244544121</v>
      </c>
      <c r="J199" s="47">
        <f t="shared" si="219"/>
        <v>181877.53872857269</v>
      </c>
      <c r="K199" s="47">
        <f t="shared" si="219"/>
        <v>186270.8947</v>
      </c>
      <c r="L199" s="47">
        <f t="shared" si="219"/>
        <v>184987.52799999999</v>
      </c>
      <c r="M199" s="47">
        <f t="shared" si="219"/>
        <v>179346.07440000001</v>
      </c>
      <c r="N199" s="47">
        <f t="shared" si="219"/>
        <v>180128.73540000001</v>
      </c>
      <c r="O199" s="47">
        <f t="shared" si="219"/>
        <v>180256.24110000001</v>
      </c>
      <c r="P199" s="47">
        <f t="shared" ref="P199:V199" si="220">P198*P66/1000</f>
        <v>174603.02249999999</v>
      </c>
      <c r="Q199" s="47">
        <f t="shared" si="220"/>
        <v>0</v>
      </c>
      <c r="R199" s="47">
        <f t="shared" si="220"/>
        <v>0</v>
      </c>
      <c r="S199" s="47">
        <f t="shared" si="220"/>
        <v>0</v>
      </c>
      <c r="T199" s="47">
        <f t="shared" si="220"/>
        <v>0</v>
      </c>
      <c r="U199" s="47">
        <f t="shared" si="220"/>
        <v>0</v>
      </c>
      <c r="V199" s="47">
        <f t="shared" si="220"/>
        <v>0</v>
      </c>
      <c r="W199" s="47">
        <f>W198*W66/1000</f>
        <v>167356</v>
      </c>
      <c r="X199" s="47">
        <f>X198*X66/1000</f>
        <v>150620.4</v>
      </c>
      <c r="Y199" s="74"/>
      <c r="Z199" s="74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M199" s="90"/>
      <c r="AN199" s="90"/>
      <c r="AO199" s="90"/>
      <c r="AP199" s="90"/>
      <c r="AQ199" s="90"/>
      <c r="AR199" s="90"/>
      <c r="AS199" s="157"/>
      <c r="AT199" s="90"/>
      <c r="AU199" s="90"/>
      <c r="AV199" s="90"/>
      <c r="AW199" s="90"/>
      <c r="AX199" s="90"/>
      <c r="AY199" s="90"/>
      <c r="AZ199" s="90"/>
      <c r="BA199" s="90"/>
      <c r="BB199" s="90"/>
      <c r="BC199" s="90"/>
      <c r="BD199" s="90"/>
      <c r="BE199" s="90"/>
      <c r="BF199" s="90"/>
      <c r="BG199" s="90"/>
      <c r="BH199" s="90"/>
      <c r="BI199" s="90"/>
      <c r="BJ199" s="90"/>
      <c r="BK199" s="90"/>
      <c r="BL199" s="90"/>
      <c r="BM199" s="90"/>
      <c r="BN199" s="90"/>
      <c r="BO199" s="90"/>
      <c r="BP199" s="90"/>
      <c r="BQ199" s="90"/>
      <c r="BR199" s="90"/>
    </row>
    <row r="200" spans="1:70" x14ac:dyDescent="0.3">
      <c r="A200" s="16"/>
      <c r="B200" s="53" t="s">
        <v>300</v>
      </c>
      <c r="C200" s="58">
        <f t="shared" ref="C200:O200" si="221">C197-C199</f>
        <v>-44866.421332512371</v>
      </c>
      <c r="D200" s="53">
        <f t="shared" si="221"/>
        <v>-34686.3555429884</v>
      </c>
      <c r="E200" s="53">
        <f t="shared" si="221"/>
        <v>-47427.586737619509</v>
      </c>
      <c r="F200" s="53">
        <f t="shared" si="221"/>
        <v>-46874.904240262986</v>
      </c>
      <c r="G200" s="53">
        <f t="shared" si="221"/>
        <v>-48099.023447512882</v>
      </c>
      <c r="H200" s="53">
        <f t="shared" si="221"/>
        <v>-39524.570699130709</v>
      </c>
      <c r="I200" s="53">
        <f t="shared" si="221"/>
        <v>-35926.722445441206</v>
      </c>
      <c r="J200" s="53">
        <f t="shared" si="221"/>
        <v>-33960.53872857269</v>
      </c>
      <c r="K200" s="53">
        <f t="shared" si="221"/>
        <v>-39720.894700000004</v>
      </c>
      <c r="L200" s="53">
        <f t="shared" si="221"/>
        <v>-42707.527999999991</v>
      </c>
      <c r="M200" s="53">
        <f t="shared" si="221"/>
        <v>-39864.074400000012</v>
      </c>
      <c r="N200" s="53">
        <f t="shared" si="221"/>
        <v>-44234.735400000005</v>
      </c>
      <c r="O200" s="53">
        <f t="shared" si="221"/>
        <v>-46605.241100000014</v>
      </c>
      <c r="P200" s="53">
        <f t="shared" ref="P200:V200" si="222">P197-P199</f>
        <v>-50021.022499999992</v>
      </c>
      <c r="Q200" s="53">
        <f t="shared" si="222"/>
        <v>0</v>
      </c>
      <c r="R200" s="53">
        <f t="shared" si="222"/>
        <v>0</v>
      </c>
      <c r="S200" s="53">
        <f t="shared" si="222"/>
        <v>0</v>
      </c>
      <c r="T200" s="53">
        <f t="shared" si="222"/>
        <v>0</v>
      </c>
      <c r="U200" s="53">
        <f t="shared" si="222"/>
        <v>0</v>
      </c>
      <c r="V200" s="53">
        <f t="shared" si="222"/>
        <v>0</v>
      </c>
      <c r="W200" s="53">
        <f>W197-W199</f>
        <v>-51745</v>
      </c>
      <c r="X200" s="53">
        <f>X197-X199</f>
        <v>-35009.399999999994</v>
      </c>
      <c r="Y200" s="90"/>
      <c r="Z200" s="30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M200" s="90"/>
      <c r="AN200" s="90"/>
      <c r="AO200" s="90"/>
      <c r="AP200" s="90"/>
      <c r="AQ200" s="90"/>
      <c r="AR200" s="90"/>
      <c r="AS200" s="157"/>
      <c r="AT200" s="90"/>
      <c r="AU200" s="90"/>
      <c r="AV200" s="90"/>
      <c r="AW200" s="90"/>
      <c r="AX200" s="90"/>
      <c r="AY200" s="90"/>
      <c r="AZ200" s="90"/>
      <c r="BA200" s="90"/>
      <c r="BB200" s="90"/>
      <c r="BC200" s="90"/>
      <c r="BD200" s="90"/>
      <c r="BE200" s="90"/>
      <c r="BF200" s="90"/>
      <c r="BG200" s="90"/>
      <c r="BH200" s="90"/>
      <c r="BI200" s="90"/>
      <c r="BJ200" s="90"/>
      <c r="BK200" s="90"/>
      <c r="BL200" s="90"/>
      <c r="BM200" s="90"/>
      <c r="BN200" s="90"/>
      <c r="BO200" s="90"/>
      <c r="BP200" s="90"/>
      <c r="BQ200" s="90"/>
      <c r="BR200" s="90"/>
    </row>
    <row r="201" spans="1:70" x14ac:dyDescent="0.3">
      <c r="A201" s="18"/>
      <c r="B201" s="203" t="s">
        <v>298</v>
      </c>
      <c r="C201" s="18">
        <f>C200*'besoin alim animale'!$C$37</f>
        <v>-57330.311015483298</v>
      </c>
      <c r="D201" s="203">
        <f>D200*'besoin alim animale'!$C$37</f>
        <v>-44322.223440453839</v>
      </c>
      <c r="E201" s="203">
        <f>E200*'besoin alim animale'!$C$37</f>
        <v>-60602.968046644521</v>
      </c>
      <c r="F201" s="203">
        <f>F200*'besoin alim animale'!$C$37</f>
        <v>-59896.750378169534</v>
      </c>
      <c r="G201" s="203">
        <f>G200*'besoin alim animale'!$C$37</f>
        <v>-61460.929842173457</v>
      </c>
      <c r="H201" s="203">
        <f>H200*'besoin alim animale'!$C$37</f>
        <v>-50504.494533701552</v>
      </c>
      <c r="I201" s="203">
        <f>I200*'besoin alim animale'!$C$37</f>
        <v>-45907.16420860467</v>
      </c>
      <c r="J201" s="203">
        <f>J200*'besoin alim animale'!$C$37</f>
        <v>-43394.774749988166</v>
      </c>
      <c r="K201" s="203">
        <f>K200*'besoin alim animale'!$C$37</f>
        <v>-50755.357332546722</v>
      </c>
      <c r="L201" s="203">
        <f>L200*'besoin alim animale'!$C$37</f>
        <v>-54571.677219288409</v>
      </c>
      <c r="M201" s="203">
        <f>M200*'besoin alim animale'!$C$37</f>
        <v>-50938.312346303428</v>
      </c>
      <c r="N201" s="203">
        <f>N200*'besoin alim animale'!$C$37</f>
        <v>-56523.14276137526</v>
      </c>
      <c r="O201" s="203">
        <f>O200*'besoin alim animale'!$C$37</f>
        <v>-59552.17483054311</v>
      </c>
      <c r="P201" s="203">
        <f>P200*'besoin alim animale'!$C$37</f>
        <v>-63916.860138773736</v>
      </c>
      <c r="Q201" s="203">
        <f>Q200*'besoin alim animale'!$C$37</f>
        <v>0</v>
      </c>
      <c r="R201" s="203">
        <f>R200*'besoin alim animale'!$C$37</f>
        <v>0</v>
      </c>
      <c r="S201" s="203">
        <f>S200*'besoin alim animale'!$C$37</f>
        <v>0</v>
      </c>
      <c r="T201" s="203">
        <f>T200*'besoin alim animale'!$C$37</f>
        <v>0</v>
      </c>
      <c r="U201" s="203">
        <f>U200*'besoin alim animale'!$C$37</f>
        <v>0</v>
      </c>
      <c r="V201" s="203">
        <f>V200*'besoin alim animale'!$C$37</f>
        <v>0</v>
      </c>
      <c r="W201" s="203">
        <f>W200*'besoin alim animale'!$C$37</f>
        <v>-66119.758505153455</v>
      </c>
      <c r="X201" s="203">
        <f>X200*'besoin alim animale'!$C$37</f>
        <v>-44735.009632047906</v>
      </c>
      <c r="Y201" s="303"/>
      <c r="Z201" s="90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M201" s="90"/>
      <c r="AN201" s="90"/>
      <c r="AO201" s="90"/>
      <c r="AP201" s="90"/>
      <c r="AQ201" s="90"/>
      <c r="AR201" s="90"/>
      <c r="AS201" s="157"/>
      <c r="AT201" s="90"/>
      <c r="AU201" s="90"/>
      <c r="AV201" s="90"/>
      <c r="AW201" s="90"/>
      <c r="AX201" s="90"/>
      <c r="AY201" s="90"/>
      <c r="AZ201" s="90"/>
      <c r="BA201" s="90"/>
      <c r="BB201" s="90"/>
      <c r="BC201" s="90"/>
      <c r="BD201" s="90"/>
      <c r="BE201" s="90"/>
      <c r="BF201" s="90"/>
      <c r="BG201" s="90"/>
      <c r="BH201" s="90"/>
      <c r="BI201" s="90"/>
      <c r="BJ201" s="90"/>
      <c r="BK201" s="90"/>
      <c r="BL201" s="90"/>
      <c r="BM201" s="90"/>
      <c r="BN201" s="90"/>
      <c r="BO201" s="90"/>
      <c r="BP201" s="90"/>
      <c r="BQ201" s="90"/>
      <c r="BR201" s="90"/>
    </row>
    <row r="202" spans="1:70" x14ac:dyDescent="0.3">
      <c r="A202" s="12" t="s">
        <v>13</v>
      </c>
      <c r="B202" s="54" t="s">
        <v>3</v>
      </c>
      <c r="C202" s="50">
        <v>98376</v>
      </c>
      <c r="D202" s="51">
        <v>90567</v>
      </c>
      <c r="E202" s="51">
        <v>89312</v>
      </c>
      <c r="F202" s="51">
        <v>86985</v>
      </c>
      <c r="G202" s="51">
        <v>85775</v>
      </c>
      <c r="H202" s="51">
        <v>86510</v>
      </c>
      <c r="I202" s="51">
        <v>86299</v>
      </c>
      <c r="J202" s="51">
        <v>84939</v>
      </c>
      <c r="K202" s="51">
        <v>83912</v>
      </c>
      <c r="L202" s="51">
        <v>83570</v>
      </c>
      <c r="M202" s="51">
        <v>83312</v>
      </c>
      <c r="N202" s="51">
        <v>85842</v>
      </c>
      <c r="O202" s="51">
        <v>85412</v>
      </c>
      <c r="P202" s="51">
        <v>84753</v>
      </c>
      <c r="Q202" s="51"/>
      <c r="R202" s="51"/>
      <c r="S202" s="51"/>
      <c r="T202" s="204"/>
      <c r="U202" s="204"/>
      <c r="V202" s="51"/>
      <c r="W202" s="204">
        <v>81069</v>
      </c>
      <c r="X202" s="54">
        <f>W202*(1+'Hypothèses production'!B9)</f>
        <v>81069</v>
      </c>
      <c r="Y202" s="74"/>
      <c r="Z202" s="285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M202" s="90"/>
      <c r="AN202" s="90"/>
      <c r="AO202" s="90"/>
      <c r="AP202" s="90"/>
      <c r="AQ202" s="90"/>
      <c r="AR202" s="90"/>
      <c r="AS202" s="74"/>
      <c r="AT202" s="74"/>
      <c r="AU202" s="74"/>
      <c r="AV202" s="509"/>
      <c r="AW202" s="232"/>
      <c r="AX202" s="90"/>
      <c r="AY202" s="90"/>
      <c r="AZ202" s="90"/>
      <c r="BA202" s="90"/>
      <c r="BB202" s="90"/>
      <c r="BC202" s="90"/>
      <c r="BD202" s="90"/>
      <c r="BE202" s="90"/>
      <c r="BF202" s="90"/>
      <c r="BG202" s="90"/>
      <c r="BH202" s="90"/>
      <c r="BI202" s="90"/>
      <c r="BJ202" s="90"/>
      <c r="BK202" s="90"/>
      <c r="BL202" s="90"/>
      <c r="BM202" s="90"/>
      <c r="BN202" s="90"/>
      <c r="BO202" s="90"/>
      <c r="BP202" s="90"/>
      <c r="BQ202" s="90"/>
      <c r="BR202" s="90"/>
    </row>
    <row r="203" spans="1:70" x14ac:dyDescent="0.3">
      <c r="A203" s="14" t="s">
        <v>15</v>
      </c>
      <c r="B203" s="48" t="s">
        <v>296</v>
      </c>
      <c r="C203" s="14">
        <f t="shared" ref="C203:P203" si="223">C22</f>
        <v>33.083796105560623</v>
      </c>
      <c r="D203" s="48">
        <f t="shared" si="223"/>
        <v>32.32788259519932</v>
      </c>
      <c r="E203" s="48">
        <f t="shared" si="223"/>
        <v>32.277756859686157</v>
      </c>
      <c r="F203" s="48">
        <f t="shared" si="223"/>
        <v>32.020096090337681</v>
      </c>
      <c r="G203" s="48">
        <f t="shared" si="223"/>
        <v>32.700080583095684</v>
      </c>
      <c r="H203" s="48">
        <f t="shared" si="223"/>
        <v>33.202226948007997</v>
      </c>
      <c r="I203" s="48">
        <f t="shared" si="223"/>
        <v>32.718881528031908</v>
      </c>
      <c r="J203" s="48">
        <f t="shared" si="223"/>
        <v>32.624278581050753</v>
      </c>
      <c r="K203" s="48">
        <f t="shared" si="223"/>
        <v>32.908807690008665</v>
      </c>
      <c r="L203" s="48">
        <f t="shared" si="223"/>
        <v>31.9</v>
      </c>
      <c r="M203" s="48">
        <f t="shared" si="223"/>
        <v>31.7</v>
      </c>
      <c r="N203" s="48">
        <f t="shared" si="223"/>
        <v>31.7</v>
      </c>
      <c r="O203" s="48">
        <f t="shared" si="223"/>
        <v>32.1</v>
      </c>
      <c r="P203" s="48">
        <f t="shared" si="223"/>
        <v>30.6</v>
      </c>
      <c r="Q203" s="49">
        <f>$P$203+(1/7)*($W$203-$P$203)</f>
        <v>30.514285714285716</v>
      </c>
      <c r="R203" s="49">
        <f>$P$203+(2/7)*($W$203-$P$203)</f>
        <v>30.428571428571431</v>
      </c>
      <c r="S203" s="49">
        <f>$P$203+(3/7)*($W$203-$P$203)</f>
        <v>30.342857142857145</v>
      </c>
      <c r="T203" s="49">
        <f>$P$203+(4/7)*($W$203-$P$203)</f>
        <v>30.257142857142856</v>
      </c>
      <c r="U203" s="49">
        <f>$P$203+(5/7)*($W$203-$P$203)</f>
        <v>30.171428571428571</v>
      </c>
      <c r="V203" s="49">
        <f>$P$203+(6/7)*($W$203-$P$203)</f>
        <v>30.085714285714285</v>
      </c>
      <c r="W203" s="48">
        <f>W22</f>
        <v>30</v>
      </c>
      <c r="X203" s="190">
        <f>X22</f>
        <v>28.5</v>
      </c>
      <c r="Y203" s="57"/>
      <c r="Z203" s="5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M203" s="90"/>
      <c r="AN203" s="90"/>
      <c r="AO203" s="90"/>
      <c r="AP203" s="90"/>
      <c r="AQ203" s="90"/>
      <c r="AR203" s="90"/>
      <c r="AS203" s="157"/>
      <c r="AT203" s="90"/>
      <c r="AU203" s="90"/>
      <c r="AV203" s="90"/>
      <c r="AW203" s="90"/>
      <c r="AX203" s="90"/>
      <c r="AY203" s="90"/>
      <c r="AZ203" s="90"/>
      <c r="BA203" s="90"/>
      <c r="BB203" s="90"/>
      <c r="BC203" s="90"/>
      <c r="BD203" s="90"/>
      <c r="BE203" s="90"/>
      <c r="BF203" s="90"/>
      <c r="BG203" s="90"/>
      <c r="BH203" s="90"/>
      <c r="BI203" s="90"/>
      <c r="BJ203" s="90"/>
      <c r="BK203" s="90"/>
      <c r="BL203" s="90"/>
      <c r="BM203" s="90"/>
      <c r="BN203" s="90"/>
      <c r="BO203" s="90"/>
      <c r="BP203" s="90"/>
      <c r="BQ203" s="90"/>
      <c r="BR203" s="90"/>
    </row>
    <row r="204" spans="1:70" x14ac:dyDescent="0.3">
      <c r="A204" s="16"/>
      <c r="B204" s="47" t="s">
        <v>297</v>
      </c>
      <c r="C204" s="16">
        <f t="shared" ref="C204:O204" si="224">C203*C66/1000</f>
        <v>250711.58742403463</v>
      </c>
      <c r="D204" s="47">
        <f t="shared" si="224"/>
        <v>246798.26484957035</v>
      </c>
      <c r="E204" s="47">
        <f t="shared" si="224"/>
        <v>248385.86036309594</v>
      </c>
      <c r="F204" s="47">
        <f t="shared" si="224"/>
        <v>248398.93732992315</v>
      </c>
      <c r="G204" s="47">
        <f t="shared" si="224"/>
        <v>255746.21843765152</v>
      </c>
      <c r="H204" s="47">
        <f t="shared" si="224"/>
        <v>261557.11682386868</v>
      </c>
      <c r="I204" s="47">
        <f t="shared" si="224"/>
        <v>259031.753261579</v>
      </c>
      <c r="J204" s="47">
        <f t="shared" si="224"/>
        <v>259307.12933014415</v>
      </c>
      <c r="K204" s="47">
        <f t="shared" si="224"/>
        <v>263088.11381665897</v>
      </c>
      <c r="L204" s="47">
        <f t="shared" si="224"/>
        <v>256569.65839999999</v>
      </c>
      <c r="M204" s="47">
        <f t="shared" si="224"/>
        <v>256093.2684</v>
      </c>
      <c r="N204" s="47">
        <f t="shared" si="224"/>
        <v>257210.85190000001</v>
      </c>
      <c r="O204" s="47">
        <f t="shared" si="224"/>
        <v>261820.15110000002</v>
      </c>
      <c r="P204" s="47">
        <f t="shared" ref="P204:V204" si="225">P203*P66/1000</f>
        <v>250838.14499999999</v>
      </c>
      <c r="Q204" s="47">
        <f t="shared" si="225"/>
        <v>0</v>
      </c>
      <c r="R204" s="47">
        <f t="shared" si="225"/>
        <v>0</v>
      </c>
      <c r="S204" s="47">
        <f t="shared" si="225"/>
        <v>0</v>
      </c>
      <c r="T204" s="47">
        <f t="shared" si="225"/>
        <v>0</v>
      </c>
      <c r="U204" s="47">
        <f t="shared" si="225"/>
        <v>0</v>
      </c>
      <c r="V204" s="47">
        <f t="shared" si="225"/>
        <v>0</v>
      </c>
      <c r="W204" s="47">
        <f>W203*W66/1000</f>
        <v>251034</v>
      </c>
      <c r="X204" s="47">
        <f>X203*X66/1000</f>
        <v>238482.3</v>
      </c>
      <c r="Y204" s="74"/>
      <c r="Z204" s="74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M204" s="90"/>
      <c r="AN204" s="90"/>
      <c r="AO204" s="90"/>
      <c r="AP204" s="90"/>
      <c r="AQ204" s="90"/>
      <c r="AR204" s="90"/>
      <c r="AS204" s="157"/>
      <c r="AT204" s="90"/>
      <c r="AU204" s="90"/>
      <c r="AV204" s="90"/>
      <c r="AW204" s="90"/>
      <c r="AX204" s="90"/>
      <c r="AY204" s="90"/>
      <c r="AZ204" s="90"/>
      <c r="BA204" s="90"/>
      <c r="BB204" s="90"/>
      <c r="BC204" s="90"/>
      <c r="BD204" s="90"/>
      <c r="BE204" s="90"/>
      <c r="BF204" s="90"/>
      <c r="BG204" s="90"/>
      <c r="BH204" s="90"/>
      <c r="BI204" s="90"/>
      <c r="BJ204" s="90"/>
      <c r="BK204" s="90"/>
      <c r="BL204" s="90"/>
      <c r="BM204" s="90"/>
      <c r="BN204" s="90"/>
      <c r="BO204" s="90"/>
      <c r="BP204" s="90"/>
      <c r="BQ204" s="90"/>
      <c r="BR204" s="90"/>
    </row>
    <row r="205" spans="1:70" x14ac:dyDescent="0.3">
      <c r="A205" s="16"/>
      <c r="B205" s="53" t="s">
        <v>300</v>
      </c>
      <c r="C205" s="58">
        <f t="shared" ref="C205:O205" si="226">C202-C204</f>
        <v>-152335.58742403463</v>
      </c>
      <c r="D205" s="53">
        <f t="shared" si="226"/>
        <v>-156231.26484957035</v>
      </c>
      <c r="E205" s="53">
        <f t="shared" si="226"/>
        <v>-159073.86036309594</v>
      </c>
      <c r="F205" s="53">
        <f t="shared" si="226"/>
        <v>-161413.93732992315</v>
      </c>
      <c r="G205" s="53">
        <f t="shared" si="226"/>
        <v>-169971.21843765152</v>
      </c>
      <c r="H205" s="53">
        <f t="shared" si="226"/>
        <v>-175047.11682386868</v>
      </c>
      <c r="I205" s="53">
        <f t="shared" si="226"/>
        <v>-172732.753261579</v>
      </c>
      <c r="J205" s="53">
        <f t="shared" si="226"/>
        <v>-174368.12933014415</v>
      </c>
      <c r="K205" s="53">
        <f t="shared" si="226"/>
        <v>-179176.11381665897</v>
      </c>
      <c r="L205" s="53">
        <f t="shared" si="226"/>
        <v>-172999.65839999999</v>
      </c>
      <c r="M205" s="53">
        <f t="shared" si="226"/>
        <v>-172781.2684</v>
      </c>
      <c r="N205" s="53">
        <f t="shared" si="226"/>
        <v>-171368.85190000001</v>
      </c>
      <c r="O205" s="53">
        <f t="shared" si="226"/>
        <v>-176408.15110000002</v>
      </c>
      <c r="P205" s="53">
        <f t="shared" ref="P205:V205" si="227">P202-P204</f>
        <v>-166085.14499999999</v>
      </c>
      <c r="Q205" s="53">
        <f t="shared" si="227"/>
        <v>0</v>
      </c>
      <c r="R205" s="53">
        <f t="shared" si="227"/>
        <v>0</v>
      </c>
      <c r="S205" s="53">
        <f t="shared" si="227"/>
        <v>0</v>
      </c>
      <c r="T205" s="53">
        <f t="shared" si="227"/>
        <v>0</v>
      </c>
      <c r="U205" s="53">
        <f t="shared" si="227"/>
        <v>0</v>
      </c>
      <c r="V205" s="53">
        <f t="shared" si="227"/>
        <v>0</v>
      </c>
      <c r="W205" s="53">
        <f>W202-W204</f>
        <v>-169965</v>
      </c>
      <c r="X205" s="53">
        <f>X202-X204</f>
        <v>-157413.29999999999</v>
      </c>
      <c r="Y205" s="90"/>
      <c r="Z205" s="30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M205" s="90"/>
      <c r="AN205" s="90"/>
      <c r="AO205" s="90"/>
      <c r="AP205" s="90"/>
      <c r="AQ205" s="90"/>
      <c r="AR205" s="90"/>
      <c r="AS205" s="157"/>
      <c r="AT205" s="90"/>
      <c r="AU205" s="90"/>
      <c r="AV205" s="90"/>
      <c r="AW205" s="90"/>
      <c r="AX205" s="90"/>
      <c r="AY205" s="90"/>
      <c r="AZ205" s="90"/>
      <c r="BA205" s="90"/>
      <c r="BB205" s="90"/>
      <c r="BC205" s="90"/>
      <c r="BD205" s="90"/>
      <c r="BE205" s="90"/>
      <c r="BF205" s="90"/>
      <c r="BG205" s="90"/>
      <c r="BH205" s="90"/>
      <c r="BI205" s="90"/>
      <c r="BJ205" s="90"/>
      <c r="BK205" s="90"/>
      <c r="BL205" s="90"/>
      <c r="BM205" s="90"/>
      <c r="BN205" s="90"/>
      <c r="BO205" s="90"/>
      <c r="BP205" s="90"/>
      <c r="BQ205" s="90"/>
      <c r="BR205" s="90"/>
    </row>
    <row r="206" spans="1:70" x14ac:dyDescent="0.3">
      <c r="A206" s="18"/>
      <c r="B206" s="203" t="s">
        <v>298</v>
      </c>
      <c r="C206" s="18">
        <f>C205*'besoin alim animale'!$F$37</f>
        <v>-149288.87567555392</v>
      </c>
      <c r="D206" s="203">
        <f>D205*'besoin alim animale'!$F$37</f>
        <v>-153106.63955257894</v>
      </c>
      <c r="E206" s="203">
        <f>E205*'besoin alim animale'!$F$37</f>
        <v>-155892.38315583402</v>
      </c>
      <c r="F206" s="203">
        <f>F205*'besoin alim animale'!$F$37</f>
        <v>-158185.65858332469</v>
      </c>
      <c r="G206" s="203">
        <f>G205*'besoin alim animale'!$F$37</f>
        <v>-166571.79406889848</v>
      </c>
      <c r="H206" s="203">
        <f>H205*'besoin alim animale'!$F$37</f>
        <v>-171546.17448739131</v>
      </c>
      <c r="I206" s="203">
        <f>I205*'besoin alim animale'!$F$37</f>
        <v>-169278.09819634742</v>
      </c>
      <c r="J206" s="203">
        <f>J205*'besoin alim animale'!$F$37</f>
        <v>-170880.76674354126</v>
      </c>
      <c r="K206" s="203">
        <f>K205*'besoin alim animale'!$F$37</f>
        <v>-175592.59154032578</v>
      </c>
      <c r="L206" s="203">
        <f>L205*'besoin alim animale'!$F$37</f>
        <v>-169539.66523199997</v>
      </c>
      <c r="M206" s="203">
        <f>M205*'besoin alim animale'!$F$37</f>
        <v>-169325.64303199999</v>
      </c>
      <c r="N206" s="203">
        <f>N205*'besoin alim animale'!$F$37</f>
        <v>-167941.474862</v>
      </c>
      <c r="O206" s="203">
        <f>O205*'besoin alim animale'!$F$37</f>
        <v>-172879.98807800002</v>
      </c>
      <c r="P206" s="203">
        <f>P205*'besoin alim animale'!$F$37</f>
        <v>-162763.44209999999</v>
      </c>
      <c r="Q206" s="203">
        <f>Q205*'besoin alim animale'!$F$37</f>
        <v>0</v>
      </c>
      <c r="R206" s="203">
        <f>R205*'besoin alim animale'!$F$37</f>
        <v>0</v>
      </c>
      <c r="S206" s="203">
        <f>S205*'besoin alim animale'!$F$37</f>
        <v>0</v>
      </c>
      <c r="T206" s="203">
        <f>T205*'besoin alim animale'!$F$37</f>
        <v>0</v>
      </c>
      <c r="U206" s="203">
        <f>U205*'besoin alim animale'!$F$37</f>
        <v>0</v>
      </c>
      <c r="V206" s="203">
        <f>V205*'besoin alim animale'!$F$37</f>
        <v>0</v>
      </c>
      <c r="W206" s="203">
        <f>W205*'besoin alim animale'!$F$37</f>
        <v>-166565.69999999998</v>
      </c>
      <c r="X206" s="203">
        <f>X205*'besoin alim animale'!$F$37</f>
        <v>-154265.03399999999</v>
      </c>
      <c r="Y206" s="303"/>
      <c r="Z206" s="90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M206" s="90"/>
      <c r="AN206" s="90"/>
      <c r="AO206" s="90"/>
      <c r="AP206" s="90"/>
      <c r="AQ206" s="90"/>
      <c r="AR206" s="90"/>
      <c r="AS206" s="157"/>
      <c r="AT206" s="90"/>
      <c r="AU206" s="90"/>
      <c r="AV206" s="90"/>
      <c r="AW206" s="90"/>
      <c r="AX206" s="90"/>
      <c r="AY206" s="90"/>
      <c r="AZ206" s="90"/>
      <c r="BA206" s="90"/>
      <c r="BB206" s="90"/>
      <c r="BC206" s="90"/>
      <c r="BD206" s="90"/>
      <c r="BE206" s="90"/>
      <c r="BF206" s="90"/>
      <c r="BG206" s="90"/>
      <c r="BH206" s="90"/>
      <c r="BI206" s="90"/>
      <c r="BJ206" s="90"/>
      <c r="BK206" s="90"/>
      <c r="BL206" s="90"/>
      <c r="BM206" s="90"/>
      <c r="BN206" s="90"/>
      <c r="BO206" s="90"/>
      <c r="BP206" s="90"/>
      <c r="BQ206" s="90"/>
      <c r="BR206" s="90"/>
    </row>
    <row r="207" spans="1:70" x14ac:dyDescent="0.3">
      <c r="A207" s="16" t="s">
        <v>13</v>
      </c>
      <c r="B207" s="47" t="s">
        <v>3</v>
      </c>
      <c r="C207" s="50">
        <v>115650</v>
      </c>
      <c r="D207" s="51">
        <v>113840</v>
      </c>
      <c r="E207" s="51">
        <v>112164</v>
      </c>
      <c r="F207" s="51">
        <v>112567</v>
      </c>
      <c r="G207" s="51">
        <v>115477</v>
      </c>
      <c r="H207" s="51">
        <v>115783</v>
      </c>
      <c r="I207" s="51">
        <v>116346</v>
      </c>
      <c r="J207" s="51">
        <v>114865</v>
      </c>
      <c r="K207" s="51">
        <v>114550</v>
      </c>
      <c r="L207" s="51">
        <v>111858</v>
      </c>
      <c r="M207" s="51">
        <v>114742</v>
      </c>
      <c r="N207" s="51">
        <v>116545</v>
      </c>
      <c r="O207" s="51">
        <v>101357</v>
      </c>
      <c r="P207" s="51">
        <v>102045</v>
      </c>
      <c r="Q207" s="51"/>
      <c r="R207" s="51"/>
      <c r="S207" s="51"/>
      <c r="T207" s="204"/>
      <c r="U207" s="204"/>
      <c r="V207" s="51"/>
      <c r="W207" s="204">
        <v>101317</v>
      </c>
      <c r="X207" s="54">
        <f>W207*(1+'Hypothèses production'!B9)</f>
        <v>101317</v>
      </c>
      <c r="Y207" s="74"/>
      <c r="Z207" s="285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M207" s="90"/>
      <c r="AN207" s="90"/>
      <c r="AO207" s="90"/>
      <c r="AP207" s="90"/>
      <c r="AQ207" s="90"/>
      <c r="AR207" s="90"/>
      <c r="AS207" s="74"/>
      <c r="AT207" s="74"/>
      <c r="AU207" s="74"/>
      <c r="AV207" s="509"/>
      <c r="AW207" s="232"/>
      <c r="AX207" s="90"/>
      <c r="AY207" s="90"/>
      <c r="AZ207" s="90"/>
      <c r="BA207" s="90"/>
      <c r="BB207" s="90"/>
      <c r="BC207" s="90"/>
      <c r="BD207" s="90"/>
      <c r="BE207" s="90"/>
      <c r="BF207" s="90"/>
      <c r="BG207" s="90"/>
      <c r="BH207" s="90"/>
      <c r="BI207" s="90"/>
      <c r="BJ207" s="90"/>
      <c r="BK207" s="90"/>
      <c r="BL207" s="90"/>
      <c r="BM207" s="90"/>
      <c r="BN207" s="90"/>
      <c r="BO207" s="90"/>
      <c r="BP207" s="90"/>
      <c r="BQ207" s="90"/>
      <c r="BR207" s="90"/>
    </row>
    <row r="208" spans="1:70" x14ac:dyDescent="0.3">
      <c r="A208" s="14" t="s">
        <v>16</v>
      </c>
      <c r="B208" s="48" t="s">
        <v>296</v>
      </c>
      <c r="C208" s="14">
        <f t="shared" ref="C208:P208" si="228">C23</f>
        <v>23.830904600132801</v>
      </c>
      <c r="D208" s="48">
        <f t="shared" si="228"/>
        <v>22.926894486087189</v>
      </c>
      <c r="E208" s="48">
        <f t="shared" si="228"/>
        <v>23.830904600132811</v>
      </c>
      <c r="F208" s="48">
        <f t="shared" si="228"/>
        <v>24.064796374925809</v>
      </c>
      <c r="G208" s="48">
        <f t="shared" si="228"/>
        <v>24.693539695474367</v>
      </c>
      <c r="H208" s="48">
        <f t="shared" si="228"/>
        <v>25.493241536448537</v>
      </c>
      <c r="I208" s="48">
        <f t="shared" si="228"/>
        <v>25.825893721690601</v>
      </c>
      <c r="J208" s="48">
        <f t="shared" si="228"/>
        <v>26.256204250860648</v>
      </c>
      <c r="K208" s="48">
        <f t="shared" si="228"/>
        <v>28</v>
      </c>
      <c r="L208" s="48">
        <f t="shared" si="228"/>
        <v>28.4</v>
      </c>
      <c r="M208" s="48">
        <f t="shared" si="228"/>
        <v>28.4</v>
      </c>
      <c r="N208" s="48">
        <f t="shared" si="228"/>
        <v>28.3</v>
      </c>
      <c r="O208" s="48">
        <f t="shared" si="228"/>
        <v>27.9</v>
      </c>
      <c r="P208" s="48">
        <f t="shared" si="228"/>
        <v>29</v>
      </c>
      <c r="Q208" s="49">
        <f>$P$208+(1/7)*($W$208-$P$208)</f>
        <v>28.857142857142858</v>
      </c>
      <c r="R208" s="49">
        <f>$P$208+(2/7)*($W$208-$P$208)</f>
        <v>28.714285714285715</v>
      </c>
      <c r="S208" s="49">
        <f>$P$208+(3/7)*($W$208-$P$208)</f>
        <v>28.571428571428573</v>
      </c>
      <c r="T208" s="49">
        <f>$P$208+(4/7)*($W$208-$P$208)</f>
        <v>28.428571428571427</v>
      </c>
      <c r="U208" s="49">
        <f>$P$208+(5/7)*($W$208-$P$208)</f>
        <v>28.285714285714285</v>
      </c>
      <c r="V208" s="49">
        <f>$P$208+(6/7)*($W$208-$P$208)</f>
        <v>28.142857142857142</v>
      </c>
      <c r="W208" s="48">
        <f>W23</f>
        <v>28</v>
      </c>
      <c r="X208" s="190">
        <f>X23</f>
        <v>26.599999999999998</v>
      </c>
      <c r="Y208" s="57"/>
      <c r="Z208" s="5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M208" s="90"/>
      <c r="AN208" s="90"/>
      <c r="AO208" s="90"/>
      <c r="AP208" s="90"/>
      <c r="AQ208" s="90"/>
      <c r="AR208" s="90"/>
      <c r="AS208" s="157"/>
      <c r="AT208" s="90"/>
      <c r="AU208" s="90"/>
      <c r="AV208" s="90"/>
      <c r="AW208" s="90"/>
      <c r="AX208" s="90"/>
      <c r="AY208" s="90"/>
      <c r="AZ208" s="90"/>
      <c r="BA208" s="90"/>
      <c r="BB208" s="90"/>
      <c r="BC208" s="90"/>
      <c r="BD208" s="90"/>
      <c r="BE208" s="90"/>
      <c r="BF208" s="90"/>
      <c r="BG208" s="90"/>
      <c r="BH208" s="90"/>
      <c r="BI208" s="90"/>
      <c r="BJ208" s="90"/>
      <c r="BK208" s="90"/>
      <c r="BL208" s="90"/>
      <c r="BM208" s="90"/>
      <c r="BN208" s="90"/>
      <c r="BO208" s="90"/>
      <c r="BP208" s="90"/>
      <c r="BQ208" s="90"/>
      <c r="BR208" s="90"/>
    </row>
    <row r="209" spans="1:70" x14ac:dyDescent="0.3">
      <c r="A209" s="16"/>
      <c r="B209" s="47" t="s">
        <v>297</v>
      </c>
      <c r="C209" s="16">
        <f t="shared" ref="C209:O209" si="229">C208*C66/1000</f>
        <v>180592.45387036516</v>
      </c>
      <c r="D209" s="47">
        <f t="shared" si="229"/>
        <v>175029.02520425999</v>
      </c>
      <c r="E209" s="47">
        <f t="shared" si="229"/>
        <v>183385.10225683643</v>
      </c>
      <c r="F209" s="47">
        <f t="shared" si="229"/>
        <v>186684.94403414259</v>
      </c>
      <c r="G209" s="47">
        <f t="shared" si="229"/>
        <v>193127.33437795538</v>
      </c>
      <c r="H209" s="47">
        <f t="shared" si="229"/>
        <v>200828.05786519757</v>
      </c>
      <c r="I209" s="47">
        <f t="shared" si="229"/>
        <v>204460.73392042139</v>
      </c>
      <c r="J209" s="47">
        <f t="shared" si="229"/>
        <v>208691.84691646043</v>
      </c>
      <c r="K209" s="47">
        <f t="shared" si="229"/>
        <v>223844.85200000001</v>
      </c>
      <c r="L209" s="47">
        <f t="shared" si="229"/>
        <v>228419.38239999997</v>
      </c>
      <c r="M209" s="47">
        <f t="shared" si="229"/>
        <v>229433.71679999999</v>
      </c>
      <c r="N209" s="47">
        <f t="shared" si="229"/>
        <v>229623.5681</v>
      </c>
      <c r="O209" s="47">
        <f t="shared" si="229"/>
        <v>227563.30889999997</v>
      </c>
      <c r="P209" s="47">
        <f t="shared" ref="P209:V209" si="230">P208*P66/1000</f>
        <v>237722.42499999999</v>
      </c>
      <c r="Q209" s="47">
        <f t="shared" si="230"/>
        <v>0</v>
      </c>
      <c r="R209" s="47">
        <f t="shared" si="230"/>
        <v>0</v>
      </c>
      <c r="S209" s="47">
        <f t="shared" si="230"/>
        <v>0</v>
      </c>
      <c r="T209" s="47">
        <f t="shared" si="230"/>
        <v>0</v>
      </c>
      <c r="U209" s="47">
        <f t="shared" si="230"/>
        <v>0</v>
      </c>
      <c r="V209" s="47">
        <f t="shared" si="230"/>
        <v>0</v>
      </c>
      <c r="W209" s="47">
        <f>W208*W66/1000</f>
        <v>234298.4</v>
      </c>
      <c r="X209" s="47">
        <f>X208*X66/1000</f>
        <v>222583.47999999998</v>
      </c>
      <c r="Y209" s="74"/>
      <c r="Z209" s="74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M209" s="90"/>
      <c r="AN209" s="90"/>
      <c r="AO209" s="90"/>
      <c r="AP209" s="90"/>
      <c r="AQ209" s="90"/>
      <c r="AR209" s="90"/>
      <c r="AS209" s="157"/>
      <c r="AT209" s="90"/>
      <c r="AU209" s="90"/>
      <c r="AV209" s="90"/>
      <c r="AW209" s="90"/>
      <c r="AX209" s="90"/>
      <c r="AY209" s="90"/>
      <c r="AZ209" s="90"/>
      <c r="BA209" s="90"/>
      <c r="BB209" s="90"/>
      <c r="BC209" s="90"/>
      <c r="BD209" s="90"/>
      <c r="BE209" s="90"/>
      <c r="BF209" s="90"/>
      <c r="BG209" s="90"/>
      <c r="BH209" s="90"/>
      <c r="BI209" s="90"/>
      <c r="BJ209" s="90"/>
      <c r="BK209" s="90"/>
      <c r="BL209" s="90"/>
      <c r="BM209" s="90"/>
      <c r="BN209" s="90"/>
      <c r="BO209" s="90"/>
      <c r="BP209" s="90"/>
      <c r="BQ209" s="90"/>
      <c r="BR209" s="90"/>
    </row>
    <row r="210" spans="1:70" x14ac:dyDescent="0.3">
      <c r="A210" s="16"/>
      <c r="B210" s="53" t="s">
        <v>300</v>
      </c>
      <c r="C210" s="58">
        <f t="shared" ref="C210:O210" si="231">C207-C209</f>
        <v>-64942.453870365163</v>
      </c>
      <c r="D210" s="53">
        <f t="shared" si="231"/>
        <v>-61189.02520425999</v>
      </c>
      <c r="E210" s="53">
        <f t="shared" si="231"/>
        <v>-71221.102256836428</v>
      </c>
      <c r="F210" s="53">
        <f t="shared" si="231"/>
        <v>-74117.944034142594</v>
      </c>
      <c r="G210" s="53">
        <f t="shared" si="231"/>
        <v>-77650.334377955383</v>
      </c>
      <c r="H210" s="53">
        <f t="shared" si="231"/>
        <v>-85045.057865197567</v>
      </c>
      <c r="I210" s="53">
        <f t="shared" si="231"/>
        <v>-88114.733920421393</v>
      </c>
      <c r="J210" s="53">
        <f t="shared" si="231"/>
        <v>-93826.846916460432</v>
      </c>
      <c r="K210" s="53">
        <f t="shared" si="231"/>
        <v>-109294.85200000001</v>
      </c>
      <c r="L210" s="53">
        <f t="shared" si="231"/>
        <v>-116561.38239999997</v>
      </c>
      <c r="M210" s="53">
        <f t="shared" si="231"/>
        <v>-114691.71679999999</v>
      </c>
      <c r="N210" s="53">
        <f t="shared" si="231"/>
        <v>-113078.5681</v>
      </c>
      <c r="O210" s="53">
        <f t="shared" si="231"/>
        <v>-126206.30889999997</v>
      </c>
      <c r="P210" s="53">
        <f t="shared" ref="P210:V210" si="232">P207-P209</f>
        <v>-135677.42499999999</v>
      </c>
      <c r="Q210" s="53">
        <f t="shared" si="232"/>
        <v>0</v>
      </c>
      <c r="R210" s="53">
        <f t="shared" si="232"/>
        <v>0</v>
      </c>
      <c r="S210" s="53">
        <f t="shared" si="232"/>
        <v>0</v>
      </c>
      <c r="T210" s="53">
        <f t="shared" si="232"/>
        <v>0</v>
      </c>
      <c r="U210" s="53">
        <f t="shared" si="232"/>
        <v>0</v>
      </c>
      <c r="V210" s="53">
        <f t="shared" si="232"/>
        <v>0</v>
      </c>
      <c r="W210" s="53">
        <f>W207-W209</f>
        <v>-132981.4</v>
      </c>
      <c r="X210" s="53">
        <f>X207-X209</f>
        <v>-121266.47999999998</v>
      </c>
      <c r="Y210" s="90"/>
      <c r="Z210" s="332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M210" s="90"/>
      <c r="AN210" s="90"/>
      <c r="AO210" s="90"/>
      <c r="AP210" s="90"/>
      <c r="AQ210" s="90"/>
      <c r="AR210" s="90"/>
      <c r="AS210" s="157"/>
      <c r="AT210" s="90"/>
      <c r="AU210" s="90"/>
      <c r="AV210" s="90"/>
      <c r="AW210" s="90"/>
      <c r="AX210" s="90"/>
      <c r="AY210" s="90"/>
      <c r="AZ210" s="90"/>
      <c r="BA210" s="90"/>
      <c r="BB210" s="90"/>
      <c r="BC210" s="90"/>
      <c r="BD210" s="90"/>
      <c r="BE210" s="90"/>
      <c r="BF210" s="90"/>
      <c r="BG210" s="90"/>
      <c r="BH210" s="90"/>
      <c r="BI210" s="90"/>
      <c r="BJ210" s="90"/>
      <c r="BK210" s="90"/>
      <c r="BL210" s="90"/>
      <c r="BM210" s="90"/>
      <c r="BN210" s="90"/>
      <c r="BO210" s="90"/>
      <c r="BP210" s="90"/>
      <c r="BQ210" s="90"/>
      <c r="BR210" s="90"/>
    </row>
    <row r="211" spans="1:70" x14ac:dyDescent="0.3">
      <c r="A211" s="18"/>
      <c r="B211" s="203" t="s">
        <v>298</v>
      </c>
      <c r="C211" s="18">
        <f>C210*'besoin alim animale'!$E$37</f>
        <v>-29873.528780367975</v>
      </c>
      <c r="D211" s="203">
        <f>D210*'besoin alim animale'!$E$37</f>
        <v>-28146.951593959595</v>
      </c>
      <c r="E211" s="203">
        <f>E210*'besoin alim animale'!$E$37</f>
        <v>-32761.707038144759</v>
      </c>
      <c r="F211" s="203">
        <f>F210*'besoin alim animale'!$E$37</f>
        <v>-34094.254255705593</v>
      </c>
      <c r="G211" s="203">
        <f>G210*'besoin alim animale'!$E$37</f>
        <v>-35719.153813859477</v>
      </c>
      <c r="H211" s="203">
        <f>H210*'besoin alim animale'!$E$37</f>
        <v>-39120.726617990884</v>
      </c>
      <c r="I211" s="203">
        <f>I210*'besoin alim animale'!$E$37</f>
        <v>-40532.777603393843</v>
      </c>
      <c r="J211" s="203">
        <f>J210*'besoin alim animale'!$E$37</f>
        <v>-43160.349581571798</v>
      </c>
      <c r="K211" s="203">
        <f>K210*'besoin alim animale'!$E$37</f>
        <v>-50275.631920000007</v>
      </c>
      <c r="L211" s="203">
        <f>L210*'besoin alim animale'!$E$37</f>
        <v>-53618.235903999986</v>
      </c>
      <c r="M211" s="203">
        <f>M210*'besoin alim animale'!$E$37</f>
        <v>-52758.189727999998</v>
      </c>
      <c r="N211" s="203">
        <f>N210*'besoin alim animale'!$E$37</f>
        <v>-52016.141326000004</v>
      </c>
      <c r="O211" s="203">
        <f>O210*'besoin alim animale'!$E$37</f>
        <v>-58054.90209399999</v>
      </c>
      <c r="P211" s="203">
        <f>P210*'besoin alim animale'!$E$37</f>
        <v>-62411.6155</v>
      </c>
      <c r="Q211" s="203">
        <f>Q210*'besoin alim animale'!$E$37</f>
        <v>0</v>
      </c>
      <c r="R211" s="203">
        <f>R210*'besoin alim animale'!$E$37</f>
        <v>0</v>
      </c>
      <c r="S211" s="203">
        <f>S210*'besoin alim animale'!$E$37</f>
        <v>0</v>
      </c>
      <c r="T211" s="203">
        <f>T210*'besoin alim animale'!$E$37</f>
        <v>0</v>
      </c>
      <c r="U211" s="203">
        <f>U210*'besoin alim animale'!$E$37</f>
        <v>0</v>
      </c>
      <c r="V211" s="203">
        <f>V210*'besoin alim animale'!$E$37</f>
        <v>0</v>
      </c>
      <c r="W211" s="203">
        <f>W210*'besoin alim animale'!$E$37</f>
        <v>-61171.444000000003</v>
      </c>
      <c r="X211" s="203">
        <f>X210*'besoin alim animale'!$E$37</f>
        <v>-55782.580799999996</v>
      </c>
      <c r="Y211" s="303"/>
      <c r="Z211" s="217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M211" s="90"/>
      <c r="AN211" s="90"/>
      <c r="AO211" s="90"/>
      <c r="AP211" s="90"/>
      <c r="AQ211" s="90"/>
      <c r="AR211" s="90"/>
      <c r="AS211" s="157"/>
      <c r="AT211" s="90"/>
      <c r="AU211" s="90"/>
      <c r="AV211" s="90"/>
      <c r="AW211" s="90"/>
      <c r="AX211" s="90"/>
      <c r="AY211" s="90"/>
      <c r="AZ211" s="90"/>
      <c r="BA211" s="90"/>
      <c r="BB211" s="90"/>
      <c r="BC211" s="90"/>
      <c r="BD211" s="90"/>
      <c r="BE211" s="90"/>
      <c r="BF211" s="90"/>
      <c r="BG211" s="90"/>
      <c r="BH211" s="90"/>
      <c r="BI211" s="90"/>
      <c r="BJ211" s="90"/>
      <c r="BK211" s="90"/>
      <c r="BL211" s="90"/>
      <c r="BM211" s="90"/>
      <c r="BN211" s="90"/>
      <c r="BO211" s="90"/>
      <c r="BP211" s="90"/>
      <c r="BQ211" s="90"/>
      <c r="BR211" s="90"/>
    </row>
    <row r="212" spans="1:70" x14ac:dyDescent="0.3">
      <c r="A212" s="12" t="s">
        <v>13</v>
      </c>
      <c r="B212" s="54" t="s">
        <v>3</v>
      </c>
      <c r="C212" s="50">
        <v>16939</v>
      </c>
      <c r="D212" s="51">
        <v>17173</v>
      </c>
      <c r="E212" s="51">
        <v>17054</v>
      </c>
      <c r="F212" s="51">
        <v>16425</v>
      </c>
      <c r="G212" s="51">
        <v>15936</v>
      </c>
      <c r="H212" s="51">
        <v>16068</v>
      </c>
      <c r="I212" s="51">
        <v>15800</v>
      </c>
      <c r="J212" s="51">
        <v>14673</v>
      </c>
      <c r="K212" s="51">
        <v>14800</v>
      </c>
      <c r="L212" s="51">
        <v>14178</v>
      </c>
      <c r="M212" s="51">
        <v>14030</v>
      </c>
      <c r="N212" s="51">
        <v>13494</v>
      </c>
      <c r="O212" s="51">
        <v>12705</v>
      </c>
      <c r="P212" s="51">
        <v>11030</v>
      </c>
      <c r="Q212" s="51"/>
      <c r="R212" s="51"/>
      <c r="S212" s="51"/>
      <c r="T212" s="204"/>
      <c r="U212" s="204"/>
      <c r="V212" s="51"/>
      <c r="W212" s="204">
        <v>10921</v>
      </c>
      <c r="X212" s="54">
        <f>W212*(1+'Hypothèses production'!B8)</f>
        <v>10921</v>
      </c>
      <c r="Y212" s="121"/>
      <c r="Z212" s="285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M212" s="90"/>
      <c r="AN212" s="90"/>
      <c r="AO212" s="90"/>
      <c r="AP212" s="90"/>
      <c r="AQ212" s="90"/>
      <c r="AR212" s="90"/>
      <c r="AS212" s="74"/>
      <c r="AT212" s="74"/>
      <c r="AU212" s="74"/>
      <c r="AV212" s="509"/>
      <c r="AW212" s="232"/>
      <c r="AX212" s="90"/>
      <c r="AY212" s="90"/>
      <c r="AZ212" s="90"/>
      <c r="BA212" s="90"/>
      <c r="BB212" s="90"/>
      <c r="BC212" s="90"/>
      <c r="BD212" s="90"/>
      <c r="BE212" s="90"/>
      <c r="BF212" s="90"/>
      <c r="BG212" s="90"/>
      <c r="BH212" s="90"/>
      <c r="BI212" s="90"/>
      <c r="BJ212" s="90"/>
      <c r="BK212" s="90"/>
      <c r="BL212" s="90"/>
      <c r="BM212" s="90"/>
      <c r="BN212" s="90"/>
      <c r="BO212" s="90"/>
      <c r="BP212" s="90"/>
      <c r="BQ212" s="90"/>
      <c r="BR212" s="90"/>
    </row>
    <row r="213" spans="1:70" x14ac:dyDescent="0.3">
      <c r="A213" s="14" t="s">
        <v>17</v>
      </c>
      <c r="B213" s="48" t="s">
        <v>296</v>
      </c>
      <c r="C213" s="14">
        <f t="shared" ref="C213:P213" si="233">C24</f>
        <v>3.0197402368782718</v>
      </c>
      <c r="D213" s="48">
        <f t="shared" si="233"/>
        <v>2.914114208439623</v>
      </c>
      <c r="E213" s="48">
        <f t="shared" si="233"/>
        <v>2.8286457893609862</v>
      </c>
      <c r="F213" s="48">
        <f t="shared" si="233"/>
        <v>2.7220656074510337</v>
      </c>
      <c r="G213" s="48">
        <f t="shared" si="233"/>
        <v>2.7036986735479198</v>
      </c>
      <c r="H213" s="48">
        <f t="shared" si="233"/>
        <v>2.5722331142560653</v>
      </c>
      <c r="I213" s="48">
        <f t="shared" si="233"/>
        <v>2.4952831088580254</v>
      </c>
      <c r="J213" s="48">
        <f t="shared" si="233"/>
        <v>2.4574457715910807</v>
      </c>
      <c r="K213" s="48">
        <f t="shared" si="233"/>
        <v>2.5</v>
      </c>
      <c r="L213" s="48">
        <f t="shared" si="233"/>
        <v>2.5</v>
      </c>
      <c r="M213" s="48">
        <f t="shared" si="233"/>
        <v>2.2999999999999998</v>
      </c>
      <c r="N213" s="48">
        <f t="shared" si="233"/>
        <v>2.27</v>
      </c>
      <c r="O213" s="48">
        <f t="shared" si="233"/>
        <v>2.2000000000000002</v>
      </c>
      <c r="P213" s="48">
        <f t="shared" si="233"/>
        <v>2.2000000000000002</v>
      </c>
      <c r="Q213" s="49">
        <f>$P$213+(1/7)*($W$213-$P$213)</f>
        <v>2.1714285714285717</v>
      </c>
      <c r="R213" s="49">
        <f>$P$213+(2/7)*($W$213-$P$213)</f>
        <v>2.1428571428571428</v>
      </c>
      <c r="S213" s="49">
        <f>$P$213+(3/7)*($W$213-$P$213)</f>
        <v>2.1142857142857143</v>
      </c>
      <c r="T213" s="49">
        <f>$P$213+(4/7)*($W$213-$P$213)</f>
        <v>2.0857142857142859</v>
      </c>
      <c r="U213" s="49">
        <f>$P$213+(5/7)*($W$213-$P$213)</f>
        <v>2.0571428571428574</v>
      </c>
      <c r="V213" s="49">
        <f>$P$213+(6/7)*($W$213-$P$213)</f>
        <v>2.0285714285714285</v>
      </c>
      <c r="W213" s="48">
        <f>W24</f>
        <v>2</v>
      </c>
      <c r="X213" s="190">
        <f>X24</f>
        <v>1.8</v>
      </c>
      <c r="Y213" s="456"/>
      <c r="Z213" s="5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M213" s="90"/>
      <c r="AN213" s="90"/>
      <c r="AO213" s="90"/>
      <c r="AP213" s="90"/>
      <c r="AQ213" s="90"/>
      <c r="AR213" s="90"/>
      <c r="AS213" s="157"/>
      <c r="AT213" s="90"/>
      <c r="AU213" s="90"/>
      <c r="AV213" s="90"/>
      <c r="AW213" s="90"/>
      <c r="AX213" s="90"/>
      <c r="AY213" s="90"/>
      <c r="AZ213" s="90"/>
      <c r="BA213" s="90"/>
      <c r="BB213" s="90"/>
      <c r="BC213" s="90"/>
      <c r="BD213" s="90"/>
      <c r="BE213" s="90"/>
      <c r="BF213" s="90"/>
      <c r="BG213" s="90"/>
      <c r="BH213" s="90"/>
      <c r="BI213" s="90"/>
      <c r="BJ213" s="90"/>
      <c r="BK213" s="90"/>
      <c r="BL213" s="90"/>
      <c r="BM213" s="90"/>
      <c r="BN213" s="90"/>
      <c r="BO213" s="90"/>
      <c r="BP213" s="90"/>
      <c r="BQ213" s="90"/>
      <c r="BR213" s="90"/>
    </row>
    <row r="214" spans="1:70" x14ac:dyDescent="0.3">
      <c r="A214" s="16" t="s">
        <v>18</v>
      </c>
      <c r="B214" s="47" t="s">
        <v>297</v>
      </c>
      <c r="C214" s="16">
        <f t="shared" ref="C214:O214" si="234">C213*C66/1000</f>
        <v>22883.827054802019</v>
      </c>
      <c r="D214" s="47">
        <f t="shared" si="234"/>
        <v>22246.997714696565</v>
      </c>
      <c r="E214" s="47">
        <f t="shared" si="234"/>
        <v>21767.176111621178</v>
      </c>
      <c r="F214" s="47">
        <f t="shared" si="234"/>
        <v>21116.682546034102</v>
      </c>
      <c r="G214" s="47">
        <f t="shared" si="234"/>
        <v>21145.535400063382</v>
      </c>
      <c r="H214" s="47">
        <f t="shared" si="234"/>
        <v>20263.275659708775</v>
      </c>
      <c r="I214" s="47">
        <f t="shared" si="234"/>
        <v>19754.879396403903</v>
      </c>
      <c r="J214" s="47">
        <f t="shared" si="234"/>
        <v>19532.484279542357</v>
      </c>
      <c r="K214" s="47">
        <f t="shared" si="234"/>
        <v>19986.147499999999</v>
      </c>
      <c r="L214" s="47">
        <f t="shared" si="234"/>
        <v>20107.34</v>
      </c>
      <c r="M214" s="47">
        <f t="shared" si="234"/>
        <v>18580.899599999997</v>
      </c>
      <c r="N214" s="47">
        <f t="shared" si="234"/>
        <v>18418.568890000002</v>
      </c>
      <c r="O214" s="47">
        <f t="shared" si="234"/>
        <v>17944.060200000004</v>
      </c>
      <c r="P214" s="47">
        <f t="shared" ref="P214:V214" si="235">P213*P66/1000</f>
        <v>18034.115000000002</v>
      </c>
      <c r="Q214" s="47">
        <f t="shared" si="235"/>
        <v>0</v>
      </c>
      <c r="R214" s="47">
        <f t="shared" si="235"/>
        <v>0</v>
      </c>
      <c r="S214" s="47">
        <f t="shared" si="235"/>
        <v>0</v>
      </c>
      <c r="T214" s="47">
        <f t="shared" si="235"/>
        <v>0</v>
      </c>
      <c r="U214" s="47">
        <f t="shared" si="235"/>
        <v>0</v>
      </c>
      <c r="V214" s="47">
        <f t="shared" si="235"/>
        <v>0</v>
      </c>
      <c r="W214" s="47">
        <f>W213*W66/1000</f>
        <v>16735.599999999999</v>
      </c>
      <c r="X214" s="47">
        <f>X213*X66/1000</f>
        <v>15062.04</v>
      </c>
      <c r="Y214" s="121"/>
      <c r="Z214" s="74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M214" s="90"/>
      <c r="AN214" s="90"/>
      <c r="AO214" s="90"/>
      <c r="AP214" s="90"/>
      <c r="AQ214" s="90"/>
      <c r="AR214" s="90"/>
      <c r="AS214" s="157"/>
      <c r="AT214" s="90"/>
      <c r="AU214" s="90"/>
      <c r="AV214" s="90"/>
      <c r="AW214" s="90"/>
      <c r="AX214" s="90"/>
      <c r="AY214" s="90"/>
      <c r="AZ214" s="90"/>
      <c r="BA214" s="90"/>
      <c r="BB214" s="90"/>
      <c r="BC214" s="90"/>
      <c r="BD214" s="90"/>
      <c r="BE214" s="90"/>
      <c r="BF214" s="90"/>
      <c r="BG214" s="90"/>
      <c r="BH214" s="90"/>
      <c r="BI214" s="90"/>
      <c r="BJ214" s="90"/>
      <c r="BK214" s="90"/>
      <c r="BL214" s="90"/>
      <c r="BM214" s="90"/>
      <c r="BN214" s="90"/>
      <c r="BO214" s="90"/>
      <c r="BP214" s="90"/>
      <c r="BQ214" s="90"/>
      <c r="BR214" s="90"/>
    </row>
    <row r="215" spans="1:70" x14ac:dyDescent="0.3">
      <c r="A215" s="16"/>
      <c r="B215" s="53" t="s">
        <v>300</v>
      </c>
      <c r="C215" s="58">
        <f t="shared" ref="C215:O215" si="236">C212-C214</f>
        <v>-5944.8270548020191</v>
      </c>
      <c r="D215" s="53">
        <f t="shared" si="236"/>
        <v>-5073.9977146965648</v>
      </c>
      <c r="E215" s="53">
        <f t="shared" si="236"/>
        <v>-4713.1761116211783</v>
      </c>
      <c r="F215" s="53">
        <f t="shared" si="236"/>
        <v>-4691.6825460341024</v>
      </c>
      <c r="G215" s="53">
        <f t="shared" si="236"/>
        <v>-5209.5354000633815</v>
      </c>
      <c r="H215" s="53">
        <f t="shared" si="236"/>
        <v>-4195.2756597087755</v>
      </c>
      <c r="I215" s="53">
        <f t="shared" si="236"/>
        <v>-3954.8793964039032</v>
      </c>
      <c r="J215" s="53">
        <f t="shared" si="236"/>
        <v>-4859.4842795423574</v>
      </c>
      <c r="K215" s="53">
        <f t="shared" si="236"/>
        <v>-5186.1474999999991</v>
      </c>
      <c r="L215" s="53">
        <f t="shared" si="236"/>
        <v>-5929.34</v>
      </c>
      <c r="M215" s="53">
        <f t="shared" si="236"/>
        <v>-4550.899599999997</v>
      </c>
      <c r="N215" s="53">
        <f t="shared" si="236"/>
        <v>-4924.5688900000023</v>
      </c>
      <c r="O215" s="53">
        <f t="shared" si="236"/>
        <v>-5239.0602000000035</v>
      </c>
      <c r="P215" s="53">
        <f t="shared" ref="P215:V215" si="237">P212-P214</f>
        <v>-7004.1150000000016</v>
      </c>
      <c r="Q215" s="53">
        <f t="shared" si="237"/>
        <v>0</v>
      </c>
      <c r="R215" s="53">
        <f t="shared" si="237"/>
        <v>0</v>
      </c>
      <c r="S215" s="53">
        <f t="shared" si="237"/>
        <v>0</v>
      </c>
      <c r="T215" s="53">
        <f t="shared" si="237"/>
        <v>0</v>
      </c>
      <c r="U215" s="53">
        <f t="shared" si="237"/>
        <v>0</v>
      </c>
      <c r="V215" s="53">
        <f t="shared" si="237"/>
        <v>0</v>
      </c>
      <c r="W215" s="53">
        <f>W212-W214</f>
        <v>-5814.5999999999985</v>
      </c>
      <c r="X215" s="53">
        <f>X212-X214</f>
        <v>-4141.0400000000009</v>
      </c>
      <c r="Y215" s="90"/>
      <c r="Z215" s="332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M215" s="90"/>
      <c r="AN215" s="90"/>
      <c r="AO215" s="90"/>
      <c r="AP215" s="90"/>
      <c r="AQ215" s="90"/>
      <c r="AR215" s="90"/>
      <c r="AS215" s="157"/>
      <c r="AT215" s="90"/>
      <c r="AU215" s="90"/>
      <c r="AV215" s="90"/>
      <c r="AW215" s="90"/>
      <c r="AX215" s="90"/>
      <c r="AY215" s="90"/>
      <c r="AZ215" s="90"/>
      <c r="BA215" s="90"/>
      <c r="BB215" s="90"/>
      <c r="BC215" s="90"/>
      <c r="BD215" s="90"/>
      <c r="BE215" s="90"/>
      <c r="BF215" s="90"/>
      <c r="BG215" s="90"/>
      <c r="BH215" s="90"/>
      <c r="BI215" s="90"/>
      <c r="BJ215" s="90"/>
      <c r="BK215" s="90"/>
      <c r="BL215" s="90"/>
      <c r="BM215" s="90"/>
      <c r="BN215" s="90"/>
      <c r="BO215" s="90"/>
      <c r="BP215" s="90"/>
      <c r="BQ215" s="90"/>
      <c r="BR215" s="90"/>
    </row>
    <row r="216" spans="1:70" x14ac:dyDescent="0.3">
      <c r="A216" s="205"/>
      <c r="B216" s="181" t="s">
        <v>298</v>
      </c>
      <c r="C216" s="205">
        <f>C215*'besoin alim animale'!$D$37</f>
        <v>-14599.717518323148</v>
      </c>
      <c r="D216" s="181">
        <f>D215*'besoin alim animale'!$D$37</f>
        <v>-12461.074584726353</v>
      </c>
      <c r="E216" s="181">
        <f>E215*'besoin alim animale'!$D$37</f>
        <v>-11574.943931833104</v>
      </c>
      <c r="F216" s="181">
        <f>F215*'besoin alim animale'!$D$37</f>
        <v>-11522.158546633482</v>
      </c>
      <c r="G216" s="181">
        <f>G215*'besoin alim animale'!$D$37</f>
        <v>-12793.937408354581</v>
      </c>
      <c r="H216" s="181">
        <f>H215*'besoin alim animale'!$D$37</f>
        <v>-10303.048175938016</v>
      </c>
      <c r="I216" s="181">
        <f>I215*'besoin alim animale'!$D$37</f>
        <v>-9712.6664029516105</v>
      </c>
      <c r="J216" s="181">
        <f>J215*'besoin alim animale'!$D$37</f>
        <v>-11934.257651573222</v>
      </c>
      <c r="K216" s="181">
        <f>K215*'besoin alim animale'!$D$37</f>
        <v>-12736.49978550627</v>
      </c>
      <c r="L216" s="181">
        <f>L215*'besoin alim animale'!$D$37</f>
        <v>-14561.68333781362</v>
      </c>
      <c r="M216" s="181">
        <f>M215*'besoin alim animale'!$D$37</f>
        <v>-11176.414049014329</v>
      </c>
      <c r="N216" s="181">
        <f>N215*'besoin alim animale'!$D$37</f>
        <v>-12094.096940203859</v>
      </c>
      <c r="O216" s="181">
        <f>O215*'besoin alim animale'!$D$37</f>
        <v>-12866.446454435492</v>
      </c>
      <c r="P216" s="181">
        <f>P215*'besoin alim animale'!$D$37</f>
        <v>-17201.190131048392</v>
      </c>
      <c r="Q216" s="181">
        <f>Q215*'besoin alim animale'!$D$37</f>
        <v>0</v>
      </c>
      <c r="R216" s="181">
        <f>R215*'besoin alim animale'!$D$37</f>
        <v>0</v>
      </c>
      <c r="S216" s="181">
        <f>S215*'besoin alim animale'!$D$37</f>
        <v>0</v>
      </c>
      <c r="T216" s="181">
        <f>T215*'besoin alim animale'!$D$37</f>
        <v>0</v>
      </c>
      <c r="U216" s="181">
        <f>U215*'besoin alim animale'!$D$37</f>
        <v>0</v>
      </c>
      <c r="V216" s="181">
        <f>V215*'besoin alim animale'!$D$37</f>
        <v>0</v>
      </c>
      <c r="W216" s="181">
        <f>W215*'besoin alim animale'!$D$37</f>
        <v>-14279.896908602148</v>
      </c>
      <c r="X216" s="181">
        <f>X215*'besoin alim animale'!$D$37</f>
        <v>-10169.852491039428</v>
      </c>
      <c r="Y216" s="303"/>
      <c r="Z216" s="217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M216" s="90"/>
      <c r="AN216" s="90"/>
      <c r="AO216" s="90"/>
      <c r="AP216" s="90"/>
      <c r="AQ216" s="90"/>
      <c r="AR216" s="90"/>
      <c r="AS216" s="157"/>
      <c r="AT216" s="90"/>
      <c r="AU216" s="90"/>
      <c r="AV216" s="90"/>
      <c r="AW216" s="90"/>
      <c r="AX216" s="90"/>
      <c r="AY216" s="90"/>
      <c r="AZ216" s="90"/>
      <c r="BA216" s="90"/>
      <c r="BB216" s="90"/>
      <c r="BC216" s="90"/>
      <c r="BD216" s="90"/>
      <c r="BE216" s="90"/>
      <c r="BF216" s="90"/>
      <c r="BG216" s="90"/>
      <c r="BH216" s="90"/>
      <c r="BI216" s="90"/>
      <c r="BJ216" s="90"/>
      <c r="BK216" s="90"/>
      <c r="BL216" s="90"/>
      <c r="BM216" s="90"/>
      <c r="BN216" s="90"/>
      <c r="BO216" s="90"/>
      <c r="BP216" s="90"/>
      <c r="BQ216" s="90"/>
      <c r="BR216" s="90"/>
    </row>
    <row r="217" spans="1:70" x14ac:dyDescent="0.3">
      <c r="A217" s="541" t="s">
        <v>604</v>
      </c>
      <c r="B217" s="334"/>
      <c r="C217" s="542">
        <f>'besoin alim animale'!$C$39</f>
        <v>0.97937802659053719</v>
      </c>
      <c r="D217" s="543">
        <f>'besoin alim animale'!$C$39</f>
        <v>0.97937802659053719</v>
      </c>
      <c r="E217" s="543">
        <f>'besoin alim animale'!$C$39</f>
        <v>0.97937802659053719</v>
      </c>
      <c r="F217" s="543">
        <f>'besoin alim animale'!$C$39</f>
        <v>0.97937802659053719</v>
      </c>
      <c r="G217" s="543">
        <f>'besoin alim animale'!$C$39</f>
        <v>0.97937802659053719</v>
      </c>
      <c r="H217" s="543">
        <f>'besoin alim animale'!$C$39</f>
        <v>0.97937802659053719</v>
      </c>
      <c r="I217" s="543">
        <f>'besoin alim animale'!$C$39</f>
        <v>0.97937802659053719</v>
      </c>
      <c r="J217" s="543">
        <f>'besoin alim animale'!$C$39</f>
        <v>0.97937802659053719</v>
      </c>
      <c r="K217" s="543">
        <f>'besoin alim animale'!$C$39</f>
        <v>0.97937802659053719</v>
      </c>
      <c r="L217" s="543">
        <f>'besoin alim animale'!$C$39</f>
        <v>0.97937802659053719</v>
      </c>
      <c r="M217" s="543">
        <f>'besoin alim animale'!$C$39</f>
        <v>0.97937802659053719</v>
      </c>
      <c r="N217" s="543">
        <f>'besoin alim animale'!$C$39</f>
        <v>0.97937802659053719</v>
      </c>
      <c r="O217" s="543">
        <f>'besoin alim animale'!$C$39</f>
        <v>0.97937802659053719</v>
      </c>
      <c r="P217" s="543">
        <f>'besoin alim animale'!$C$39</f>
        <v>0.97937802659053719</v>
      </c>
      <c r="Q217" s="334"/>
      <c r="R217" s="334"/>
      <c r="S217" s="334"/>
      <c r="T217" s="334"/>
      <c r="U217" s="334"/>
      <c r="V217" s="334"/>
      <c r="W217" s="543">
        <f>'besoin alim animale'!$C$39</f>
        <v>0.97937802659053719</v>
      </c>
      <c r="X217" s="544">
        <f>'besoin alim animale'!$C$39</f>
        <v>0.97937802659053719</v>
      </c>
      <c r="Y217" s="303"/>
      <c r="Z217" s="217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M217" s="90"/>
      <c r="AN217" s="90"/>
      <c r="AO217" s="90"/>
      <c r="AP217" s="90"/>
      <c r="AQ217" s="90"/>
      <c r="AR217" s="90"/>
      <c r="AS217" s="157"/>
      <c r="AT217" s="90"/>
      <c r="AU217" s="90"/>
      <c r="AV217" s="90"/>
      <c r="AW217" s="90"/>
      <c r="AX217" s="90"/>
      <c r="AY217" s="90"/>
      <c r="AZ217" s="90"/>
      <c r="BA217" s="90"/>
      <c r="BB217" s="90"/>
      <c r="BC217" s="90"/>
      <c r="BD217" s="90"/>
      <c r="BE217" s="90"/>
      <c r="BF217" s="90"/>
      <c r="BG217" s="90"/>
      <c r="BH217" s="90"/>
      <c r="BI217" s="90"/>
      <c r="BJ217" s="90"/>
      <c r="BK217" s="90"/>
      <c r="BL217" s="90"/>
      <c r="BM217" s="90"/>
      <c r="BN217" s="90"/>
      <c r="BO217" s="90"/>
      <c r="BP217" s="90"/>
      <c r="BQ217" s="90"/>
      <c r="BR217" s="90"/>
    </row>
    <row r="218" spans="1:70" s="389" customFormat="1" x14ac:dyDescent="0.3">
      <c r="A218" s="233"/>
      <c r="B218" s="247" t="s">
        <v>433</v>
      </c>
      <c r="C218" s="540">
        <v>1400590</v>
      </c>
      <c r="D218" s="124">
        <v>1364462</v>
      </c>
      <c r="E218" s="124">
        <v>1441978</v>
      </c>
      <c r="F218" s="124">
        <v>1523996</v>
      </c>
      <c r="G218" s="124">
        <v>1515100</v>
      </c>
      <c r="H218" s="124">
        <v>1529298</v>
      </c>
      <c r="I218" s="124">
        <v>1514470</v>
      </c>
      <c r="J218" s="124">
        <v>1475330</v>
      </c>
      <c r="K218" s="124">
        <v>1348130</v>
      </c>
      <c r="L218" s="124">
        <v>1272227</v>
      </c>
      <c r="M218" s="124">
        <v>1249299</v>
      </c>
      <c r="N218" s="124">
        <v>1293959</v>
      </c>
      <c r="O218" s="124">
        <v>1273499</v>
      </c>
      <c r="P218" s="124">
        <v>1266701</v>
      </c>
      <c r="Q218" s="124"/>
      <c r="R218" s="124"/>
      <c r="S218" s="124"/>
      <c r="T218" s="124"/>
      <c r="U218" s="124"/>
      <c r="V218" s="124"/>
      <c r="W218" s="74">
        <v>1252492</v>
      </c>
      <c r="X218" s="53">
        <f>W218*(1+'Hypothèses production'!B10)</f>
        <v>1252492</v>
      </c>
      <c r="Y218" s="332"/>
      <c r="Z218" s="401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M218" s="401"/>
      <c r="AN218" s="401"/>
      <c r="AO218" s="401"/>
      <c r="AP218" s="401"/>
      <c r="AQ218" s="401"/>
      <c r="AR218" s="401"/>
      <c r="AS218" s="510"/>
      <c r="AT218" s="401"/>
      <c r="AU218" s="401"/>
      <c r="AV218" s="401"/>
      <c r="AW218" s="401"/>
      <c r="AX218" s="401"/>
      <c r="AY218" s="401"/>
      <c r="AZ218" s="401"/>
      <c r="BA218" s="401"/>
      <c r="BB218" s="401"/>
      <c r="BC218" s="401"/>
      <c r="BD218" s="401"/>
      <c r="BE218" s="401"/>
      <c r="BF218" s="401"/>
      <c r="BG218" s="401"/>
      <c r="BH218" s="401"/>
      <c r="BI218" s="401"/>
      <c r="BJ218" s="401"/>
      <c r="BK218" s="401"/>
      <c r="BL218" s="401"/>
      <c r="BM218" s="401"/>
      <c r="BN218" s="401"/>
      <c r="BO218" s="401"/>
      <c r="BP218" s="401"/>
      <c r="BQ218" s="401"/>
      <c r="BR218" s="401"/>
    </row>
    <row r="219" spans="1:70" x14ac:dyDescent="0.3">
      <c r="A219" s="16"/>
      <c r="B219" s="47" t="s">
        <v>3</v>
      </c>
      <c r="C219" s="16">
        <f>C218*'Calcul Fr métro'!$A$255</f>
        <v>86836.58</v>
      </c>
      <c r="D219" s="47">
        <f>D218*'Calcul Fr métro'!$A$255</f>
        <v>84596.644</v>
      </c>
      <c r="E219" s="47">
        <f>E218*'Calcul Fr métro'!$A$255</f>
        <v>89402.635999999999</v>
      </c>
      <c r="F219" s="47">
        <f>F218*'Calcul Fr métro'!$A$255</f>
        <v>94487.751999999993</v>
      </c>
      <c r="G219" s="47">
        <f>G218*'Calcul Fr métro'!$A$255</f>
        <v>93936.2</v>
      </c>
      <c r="H219" s="47">
        <f>H218*'Calcul Fr métro'!$A$255</f>
        <v>94816.475999999995</v>
      </c>
      <c r="I219" s="47">
        <f>I218*'Calcul Fr métro'!$A$255</f>
        <v>93897.14</v>
      </c>
      <c r="J219" s="47">
        <f>J218*'Calcul Fr métro'!$A$255</f>
        <v>91470.46</v>
      </c>
      <c r="K219" s="47">
        <f>K218*'Calcul Fr métro'!$A$255</f>
        <v>83584.06</v>
      </c>
      <c r="L219" s="47">
        <f>L218*'Calcul Fr métro'!$A$255</f>
        <v>78878.073999999993</v>
      </c>
      <c r="M219" s="47">
        <f>M218*'Calcul Fr métro'!$A$255</f>
        <v>77456.538</v>
      </c>
      <c r="N219" s="47">
        <f>N218*'Calcul Fr métro'!$A$255</f>
        <v>80225.457999999999</v>
      </c>
      <c r="O219" s="47">
        <f>O218*'Calcul Fr métro'!$A$255</f>
        <v>78956.937999999995</v>
      </c>
      <c r="P219" s="47">
        <f>P218*'Calcul Fr métro'!$A$255</f>
        <v>78535.462</v>
      </c>
      <c r="Q219" s="47">
        <f>Q218*'Calcul Fr métro'!$A$255</f>
        <v>0</v>
      </c>
      <c r="R219" s="47">
        <f>R218*'Calcul Fr métro'!$A$255</f>
        <v>0</v>
      </c>
      <c r="S219" s="47">
        <f>S218*'Calcul Fr métro'!$A$255</f>
        <v>0</v>
      </c>
      <c r="T219" s="47">
        <f>T218*'Calcul Fr métro'!$A$255</f>
        <v>0</v>
      </c>
      <c r="U219" s="47">
        <f>U218*'Calcul Fr métro'!$A$255</f>
        <v>0</v>
      </c>
      <c r="V219" s="47">
        <f>V218*'Calcul Fr métro'!$A$255</f>
        <v>0</v>
      </c>
      <c r="W219" s="47">
        <f>W218*'Calcul Fr métro'!$A$255</f>
        <v>77654.504000000001</v>
      </c>
      <c r="X219" s="47">
        <f>X218*'Calcul Fr métro'!$A$255</f>
        <v>77654.504000000001</v>
      </c>
      <c r="Y219" s="121"/>
      <c r="Z219" s="285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M219" s="90"/>
      <c r="AN219" s="90"/>
      <c r="AO219" s="90"/>
      <c r="AP219" s="90"/>
      <c r="AQ219" s="90"/>
      <c r="AR219" s="90"/>
      <c r="AS219" s="74"/>
      <c r="AT219" s="74"/>
      <c r="AU219" s="74"/>
      <c r="AV219" s="509"/>
      <c r="AW219" s="232"/>
      <c r="AX219" s="90"/>
      <c r="AY219" s="90"/>
      <c r="AZ219" s="90"/>
      <c r="BA219" s="90"/>
      <c r="BB219" s="90"/>
      <c r="BC219" s="90"/>
      <c r="BD219" s="90"/>
      <c r="BE219" s="90"/>
      <c r="BF219" s="90"/>
      <c r="BG219" s="90"/>
      <c r="BH219" s="90"/>
      <c r="BI219" s="90"/>
      <c r="BJ219" s="90"/>
      <c r="BK219" s="90"/>
      <c r="BL219" s="90"/>
      <c r="BM219" s="90"/>
      <c r="BN219" s="90"/>
      <c r="BO219" s="90"/>
      <c r="BP219" s="90"/>
      <c r="BQ219" s="90"/>
      <c r="BR219" s="90"/>
    </row>
    <row r="220" spans="1:70" x14ac:dyDescent="0.3">
      <c r="A220" s="14" t="s">
        <v>432</v>
      </c>
      <c r="B220" s="48" t="s">
        <v>296</v>
      </c>
      <c r="C220" s="14">
        <f t="shared" ref="C220:P220" si="238">C25</f>
        <v>13.524617785779524</v>
      </c>
      <c r="D220" s="48">
        <f t="shared" si="238"/>
        <v>12.171288343897722</v>
      </c>
      <c r="E220" s="48">
        <f t="shared" si="238"/>
        <v>12.220020914292707</v>
      </c>
      <c r="F220" s="48">
        <f t="shared" si="238"/>
        <v>13.513925733026769</v>
      </c>
      <c r="G220" s="48">
        <f t="shared" si="238"/>
        <v>13.213180431526251</v>
      </c>
      <c r="H220" s="48">
        <f t="shared" si="238"/>
        <v>13.408560330305036</v>
      </c>
      <c r="I220" s="48">
        <f t="shared" si="238"/>
        <v>13.120296814924522</v>
      </c>
      <c r="J220" s="48">
        <f t="shared" si="238"/>
        <v>13.731868665175201</v>
      </c>
      <c r="K220" s="48">
        <f t="shared" si="238"/>
        <v>13.276739605409077</v>
      </c>
      <c r="L220" s="48">
        <f t="shared" si="238"/>
        <v>12.8</v>
      </c>
      <c r="M220" s="48">
        <f t="shared" si="238"/>
        <v>14.1</v>
      </c>
      <c r="N220" s="48">
        <f t="shared" si="238"/>
        <v>14.2</v>
      </c>
      <c r="O220" s="48">
        <f t="shared" si="238"/>
        <v>14.5</v>
      </c>
      <c r="P220" s="48">
        <f t="shared" si="238"/>
        <v>15</v>
      </c>
      <c r="Q220" s="49">
        <f>$P$220+(1/7)*($W$220-$P$220)</f>
        <v>15</v>
      </c>
      <c r="R220" s="49">
        <f>$P$220+(2/7)*($W$220-$P$220)</f>
        <v>15</v>
      </c>
      <c r="S220" s="49">
        <f>$P$220+(3/7)*($W$220-$P$220)</f>
        <v>15</v>
      </c>
      <c r="T220" s="49">
        <f>$P$220+(4/7)*($W$220-$P$220)</f>
        <v>15</v>
      </c>
      <c r="U220" s="49">
        <f>$P$220+(5/7)*($W$220-$P$220)</f>
        <v>15</v>
      </c>
      <c r="V220" s="49">
        <f>$P$220+(6/7)*($W$220-$P$220)</f>
        <v>15</v>
      </c>
      <c r="W220" s="48">
        <f>W25</f>
        <v>15</v>
      </c>
      <c r="X220" s="190">
        <f>X25</f>
        <v>14.7</v>
      </c>
      <c r="Y220" s="456"/>
      <c r="Z220" s="5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M220" s="90"/>
      <c r="AN220" s="90"/>
      <c r="AO220" s="90"/>
      <c r="AP220" s="90"/>
      <c r="AQ220" s="90"/>
      <c r="AR220" s="90"/>
      <c r="AS220" s="157"/>
      <c r="AT220" s="90"/>
      <c r="AU220" s="90"/>
      <c r="AV220" s="90"/>
      <c r="AW220" s="90"/>
      <c r="AX220" s="90"/>
      <c r="AY220" s="90"/>
      <c r="AZ220" s="90"/>
      <c r="BA220" s="90"/>
      <c r="BB220" s="90"/>
      <c r="BC220" s="90"/>
      <c r="BD220" s="90"/>
      <c r="BE220" s="90"/>
      <c r="BF220" s="90"/>
      <c r="BG220" s="90"/>
      <c r="BH220" s="90"/>
      <c r="BI220" s="90"/>
      <c r="BJ220" s="90"/>
      <c r="BK220" s="90"/>
      <c r="BL220" s="90"/>
      <c r="BM220" s="90"/>
      <c r="BN220" s="90"/>
      <c r="BO220" s="90"/>
      <c r="BP220" s="90"/>
      <c r="BQ220" s="90"/>
      <c r="BR220" s="90"/>
    </row>
    <row r="221" spans="1:70" x14ac:dyDescent="0.3">
      <c r="A221" s="16" t="s">
        <v>334</v>
      </c>
      <c r="B221" s="47" t="s">
        <v>297</v>
      </c>
      <c r="C221" s="16">
        <f t="shared" ref="C221:O221" si="239">C220*C66/1000</f>
        <v>102490.60850082453</v>
      </c>
      <c r="D221" s="47">
        <f t="shared" si="239"/>
        <v>92918.329414615902</v>
      </c>
      <c r="E221" s="47">
        <f t="shared" si="239"/>
        <v>94036.287021003751</v>
      </c>
      <c r="F221" s="47">
        <f t="shared" si="239"/>
        <v>104835.5626968998</v>
      </c>
      <c r="G221" s="47">
        <f t="shared" si="239"/>
        <v>103339.83490683213</v>
      </c>
      <c r="H221" s="47">
        <f t="shared" si="239"/>
        <v>105628.58889692332</v>
      </c>
      <c r="I221" s="47">
        <f t="shared" si="239"/>
        <v>103871.93353081099</v>
      </c>
      <c r="J221" s="47">
        <f t="shared" si="239"/>
        <v>109144.8331971194</v>
      </c>
      <c r="K221" s="47">
        <f t="shared" si="239"/>
        <v>106140.35042911903</v>
      </c>
      <c r="L221" s="47">
        <f t="shared" si="239"/>
        <v>102949.58080000001</v>
      </c>
      <c r="M221" s="47">
        <f t="shared" si="239"/>
        <v>113908.9932</v>
      </c>
      <c r="N221" s="47">
        <f t="shared" si="239"/>
        <v>115217.4794</v>
      </c>
      <c r="O221" s="47">
        <f t="shared" si="239"/>
        <v>118267.6695</v>
      </c>
      <c r="P221" s="47">
        <f t="shared" ref="P221:V221" si="240">P220*P66/1000</f>
        <v>122959.875</v>
      </c>
      <c r="Q221" s="47">
        <f t="shared" si="240"/>
        <v>0</v>
      </c>
      <c r="R221" s="47">
        <f t="shared" si="240"/>
        <v>0</v>
      </c>
      <c r="S221" s="47">
        <f t="shared" si="240"/>
        <v>0</v>
      </c>
      <c r="T221" s="47">
        <f t="shared" si="240"/>
        <v>0</v>
      </c>
      <c r="U221" s="47">
        <f t="shared" si="240"/>
        <v>0</v>
      </c>
      <c r="V221" s="47">
        <f t="shared" si="240"/>
        <v>0</v>
      </c>
      <c r="W221" s="47">
        <f>W220*W66/1000</f>
        <v>125517</v>
      </c>
      <c r="X221" s="47">
        <f>X220*X66/1000</f>
        <v>123006.66</v>
      </c>
      <c r="Y221" s="121"/>
      <c r="Z221" s="74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M221" s="90"/>
      <c r="AN221" s="90"/>
      <c r="AO221" s="90"/>
      <c r="AP221" s="90"/>
      <c r="AQ221" s="90"/>
      <c r="AR221" s="90"/>
      <c r="AS221" s="157"/>
      <c r="AT221" s="90"/>
      <c r="AU221" s="90"/>
      <c r="AV221" s="90"/>
      <c r="AW221" s="90"/>
      <c r="AX221" s="90"/>
      <c r="AY221" s="90"/>
      <c r="AZ221" s="90"/>
      <c r="BA221" s="90"/>
      <c r="BB221" s="90"/>
      <c r="BC221" s="90"/>
      <c r="BD221" s="90"/>
      <c r="BE221" s="90"/>
      <c r="BF221" s="90"/>
      <c r="BG221" s="90"/>
      <c r="BH221" s="90"/>
      <c r="BI221" s="90"/>
      <c r="BJ221" s="90"/>
      <c r="BK221" s="90"/>
      <c r="BL221" s="90"/>
      <c r="BM221" s="90"/>
      <c r="BN221" s="90"/>
      <c r="BO221" s="90"/>
      <c r="BP221" s="90"/>
      <c r="BQ221" s="90"/>
      <c r="BR221" s="90"/>
    </row>
    <row r="222" spans="1:70" x14ac:dyDescent="0.3">
      <c r="A222" s="446">
        <f>'Calcul Fr métro'!A255</f>
        <v>6.2E-2</v>
      </c>
      <c r="B222" s="53" t="s">
        <v>300</v>
      </c>
      <c r="C222" s="58">
        <f t="shared" ref="C222:O222" si="241">C219-C221</f>
        <v>-15654.028500824526</v>
      </c>
      <c r="D222" s="53">
        <f t="shared" si="241"/>
        <v>-8321.6854146159021</v>
      </c>
      <c r="E222" s="53">
        <f t="shared" si="241"/>
        <v>-4633.6510210037522</v>
      </c>
      <c r="F222" s="53">
        <f t="shared" si="241"/>
        <v>-10347.810696899804</v>
      </c>
      <c r="G222" s="53">
        <f t="shared" si="241"/>
        <v>-9403.6349068321288</v>
      </c>
      <c r="H222" s="53">
        <f t="shared" si="241"/>
        <v>-10812.112896923325</v>
      </c>
      <c r="I222" s="53">
        <f t="shared" si="241"/>
        <v>-9974.7935308109882</v>
      </c>
      <c r="J222" s="53">
        <f t="shared" si="241"/>
        <v>-17674.373197119392</v>
      </c>
      <c r="K222" s="53">
        <f t="shared" si="241"/>
        <v>-22556.290429119035</v>
      </c>
      <c r="L222" s="53">
        <f t="shared" si="241"/>
        <v>-24071.506800000017</v>
      </c>
      <c r="M222" s="53">
        <f t="shared" si="241"/>
        <v>-36452.455199999997</v>
      </c>
      <c r="N222" s="53">
        <f t="shared" si="241"/>
        <v>-34992.021399999998</v>
      </c>
      <c r="O222" s="53">
        <f t="shared" si="241"/>
        <v>-39310.731500000009</v>
      </c>
      <c r="P222" s="53">
        <f t="shared" ref="P222:V222" si="242">P219-P221</f>
        <v>-44424.413</v>
      </c>
      <c r="Q222" s="53">
        <f t="shared" si="242"/>
        <v>0</v>
      </c>
      <c r="R222" s="53">
        <f t="shared" si="242"/>
        <v>0</v>
      </c>
      <c r="S222" s="53">
        <f t="shared" si="242"/>
        <v>0</v>
      </c>
      <c r="T222" s="53">
        <f t="shared" si="242"/>
        <v>0</v>
      </c>
      <c r="U222" s="53">
        <f t="shared" si="242"/>
        <v>0</v>
      </c>
      <c r="V222" s="53">
        <f t="shared" si="242"/>
        <v>0</v>
      </c>
      <c r="W222" s="53">
        <f>W219-W221</f>
        <v>-47862.495999999999</v>
      </c>
      <c r="X222" s="53">
        <f>X219-X221</f>
        <v>-45352.156000000003</v>
      </c>
      <c r="Y222" s="90"/>
      <c r="Z222" s="332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M222" s="90"/>
      <c r="AN222" s="90"/>
      <c r="AO222" s="90"/>
      <c r="AP222" s="90"/>
      <c r="AQ222" s="90"/>
      <c r="AR222" s="90"/>
      <c r="AS222" s="157"/>
      <c r="AT222" s="90"/>
      <c r="AU222" s="90"/>
      <c r="AV222" s="90"/>
      <c r="AW222" s="90"/>
      <c r="AX222" s="90"/>
      <c r="AY222" s="90"/>
      <c r="AZ222" s="90"/>
      <c r="BA222" s="90"/>
      <c r="BB222" s="90"/>
      <c r="BC222" s="90"/>
      <c r="BD222" s="90"/>
      <c r="BE222" s="90"/>
      <c r="BF222" s="90"/>
      <c r="BG222" s="90"/>
      <c r="BH222" s="90"/>
      <c r="BI222" s="90"/>
      <c r="BJ222" s="90"/>
      <c r="BK222" s="90"/>
      <c r="BL222" s="90"/>
      <c r="BM222" s="90"/>
      <c r="BN222" s="90"/>
      <c r="BO222" s="90"/>
      <c r="BP222" s="90"/>
      <c r="BQ222" s="90"/>
      <c r="BR222" s="90"/>
    </row>
    <row r="223" spans="1:70" x14ac:dyDescent="0.3">
      <c r="A223" s="18"/>
      <c r="B223" s="203" t="s">
        <v>298</v>
      </c>
      <c r="C223" s="18">
        <f>C222*'besoin alim animale'!$G$37</f>
        <v>-11427.440805601904</v>
      </c>
      <c r="D223" s="203">
        <f>D222*'besoin alim animale'!$G$37</f>
        <v>-6074.8303526696081</v>
      </c>
      <c r="E223" s="203">
        <f>E222*'besoin alim animale'!$G$37</f>
        <v>-3382.5652453327389</v>
      </c>
      <c r="F223" s="203">
        <f>F222*'besoin alim animale'!$G$37</f>
        <v>-7553.9018087368568</v>
      </c>
      <c r="G223" s="203">
        <f>G222*'besoin alim animale'!$G$37</f>
        <v>-6864.6534819874541</v>
      </c>
      <c r="H223" s="203">
        <f>H222*'besoin alim animale'!$G$37</f>
        <v>-7892.8424147540272</v>
      </c>
      <c r="I223" s="203">
        <f>I222*'besoin alim animale'!$G$37</f>
        <v>-7281.5992774920214</v>
      </c>
      <c r="J223" s="203">
        <f>J222*'besoin alim animale'!$G$37</f>
        <v>-12902.292433897155</v>
      </c>
      <c r="K223" s="203">
        <f>K222*'besoin alim animale'!$G$37</f>
        <v>-16466.092013256894</v>
      </c>
      <c r="L223" s="203">
        <f>L222*'besoin alim animale'!$G$37</f>
        <v>-17572.199964000014</v>
      </c>
      <c r="M223" s="203">
        <f>M222*'besoin alim animale'!$G$37</f>
        <v>-26610.292295999996</v>
      </c>
      <c r="N223" s="203">
        <f>N222*'besoin alim animale'!$G$37</f>
        <v>-25544.175621999999</v>
      </c>
      <c r="O223" s="203">
        <f>O222*'besoin alim animale'!$G$37</f>
        <v>-28696.833995000005</v>
      </c>
      <c r="P223" s="203">
        <f>P222*'besoin alim animale'!$G$37</f>
        <v>-32429.821489999998</v>
      </c>
      <c r="Q223" s="203">
        <f>Q222*'besoin alim animale'!$G$37</f>
        <v>0</v>
      </c>
      <c r="R223" s="203">
        <f>R222*'besoin alim animale'!$G$37</f>
        <v>0</v>
      </c>
      <c r="S223" s="203">
        <f>S222*'besoin alim animale'!$G$37</f>
        <v>0</v>
      </c>
      <c r="T223" s="203">
        <f>T222*'besoin alim animale'!$G$37</f>
        <v>0</v>
      </c>
      <c r="U223" s="203">
        <f>U222*'besoin alim animale'!$G$37</f>
        <v>0</v>
      </c>
      <c r="V223" s="203">
        <f>V222*'besoin alim animale'!$G$37</f>
        <v>0</v>
      </c>
      <c r="W223" s="203">
        <f>W222*'besoin alim animale'!$G$37</f>
        <v>-34939.622080000001</v>
      </c>
      <c r="X223" s="203">
        <f>X222*'besoin alim animale'!$G$37</f>
        <v>-33107.073880000004</v>
      </c>
      <c r="Y223" s="303"/>
      <c r="Z223" s="217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M223" s="90"/>
      <c r="AN223" s="90"/>
      <c r="AO223" s="90"/>
      <c r="AP223" s="90"/>
      <c r="AQ223" s="90"/>
      <c r="AR223" s="90"/>
      <c r="AS223" s="157"/>
      <c r="AT223" s="90"/>
      <c r="AU223" s="90"/>
      <c r="AV223" s="90"/>
      <c r="AW223" s="90"/>
      <c r="AX223" s="90"/>
      <c r="AY223" s="90"/>
      <c r="AZ223" s="90"/>
      <c r="BA223" s="90"/>
      <c r="BB223" s="90"/>
      <c r="BC223" s="90"/>
      <c r="BD223" s="90"/>
      <c r="BE223" s="90"/>
      <c r="BF223" s="90"/>
      <c r="BG223" s="90"/>
      <c r="BH223" s="90"/>
      <c r="BI223" s="90"/>
      <c r="BJ223" s="90"/>
      <c r="BK223" s="90"/>
      <c r="BL223" s="90"/>
      <c r="BM223" s="90"/>
      <c r="BN223" s="90"/>
      <c r="BO223" s="90"/>
      <c r="BP223" s="90"/>
      <c r="BQ223" s="90"/>
      <c r="BR223" s="90"/>
    </row>
    <row r="224" spans="1:70" x14ac:dyDescent="0.3">
      <c r="A224" s="16" t="s">
        <v>10</v>
      </c>
      <c r="B224" s="47" t="s">
        <v>3</v>
      </c>
      <c r="C224" s="52">
        <v>2731522</v>
      </c>
      <c r="D224" s="75">
        <v>2764365</v>
      </c>
      <c r="E224" s="75">
        <v>2784325</v>
      </c>
      <c r="F224" s="75">
        <v>2738462</v>
      </c>
      <c r="G224" s="75">
        <v>2862342</v>
      </c>
      <c r="H224" s="75">
        <v>2860693</v>
      </c>
      <c r="I224" s="75">
        <v>2783423</v>
      </c>
      <c r="J224" s="75">
        <v>2770537</v>
      </c>
      <c r="K224" s="75">
        <v>2783655</v>
      </c>
      <c r="L224" s="75">
        <v>2756931</v>
      </c>
      <c r="M224" s="75">
        <v>2781736</v>
      </c>
      <c r="N224" s="75">
        <v>2730817</v>
      </c>
      <c r="O224" s="75">
        <v>2695121</v>
      </c>
      <c r="P224" s="243">
        <v>2595634</v>
      </c>
      <c r="Q224" s="447"/>
      <c r="R224" s="447"/>
      <c r="S224" s="447"/>
      <c r="T224" s="448"/>
      <c r="U224" s="448"/>
      <c r="V224" s="447"/>
      <c r="W224" s="74">
        <v>2459949</v>
      </c>
      <c r="X224" s="47">
        <f>W224*(1+'Hypothèses production'!B11)</f>
        <v>2459949</v>
      </c>
      <c r="Y224" s="121"/>
      <c r="Z224" s="285"/>
      <c r="AM224" s="90"/>
      <c r="AN224" s="90"/>
      <c r="AO224" s="90"/>
      <c r="AP224" s="90"/>
      <c r="AQ224" s="90"/>
      <c r="AR224" s="90"/>
      <c r="AS224" s="74"/>
      <c r="AT224" s="74"/>
      <c r="AU224" s="74"/>
      <c r="AV224" s="509"/>
      <c r="AW224" s="232"/>
      <c r="AX224" s="90"/>
      <c r="AY224" s="90"/>
      <c r="AZ224" s="90"/>
      <c r="BA224" s="90"/>
      <c r="BB224" s="90"/>
      <c r="BC224" s="90"/>
      <c r="BD224" s="90"/>
      <c r="BE224" s="90"/>
      <c r="BF224" s="90"/>
      <c r="BG224" s="90"/>
      <c r="BH224" s="90"/>
      <c r="BI224" s="90"/>
      <c r="BJ224" s="90"/>
      <c r="BK224" s="90"/>
      <c r="BL224" s="90"/>
      <c r="BM224" s="90"/>
      <c r="BN224" s="90"/>
      <c r="BO224" s="90"/>
      <c r="BP224" s="90"/>
      <c r="BQ224" s="90"/>
      <c r="BR224" s="90"/>
    </row>
    <row r="225" spans="1:70" x14ac:dyDescent="0.3">
      <c r="A225" s="14" t="s">
        <v>11</v>
      </c>
      <c r="B225" s="48" t="s">
        <v>296</v>
      </c>
      <c r="C225" s="14">
        <f t="shared" ref="C225:P225" si="243">C26</f>
        <v>356.90700585542027</v>
      </c>
      <c r="D225" s="48">
        <f t="shared" si="243"/>
        <v>356.01510984118306</v>
      </c>
      <c r="E225" s="48">
        <f t="shared" si="243"/>
        <v>354.72110650832559</v>
      </c>
      <c r="F225" s="48">
        <f t="shared" si="243"/>
        <v>353.93994538638594</v>
      </c>
      <c r="G225" s="48">
        <f t="shared" si="243"/>
        <v>360.13449215740792</v>
      </c>
      <c r="H225" s="48">
        <f t="shared" si="243"/>
        <v>355.08771550963172</v>
      </c>
      <c r="I225" s="48">
        <f t="shared" si="243"/>
        <v>347.27314324950345</v>
      </c>
      <c r="J225" s="48">
        <f t="shared" si="243"/>
        <v>346.41117043054464</v>
      </c>
      <c r="K225" s="48">
        <f t="shared" si="243"/>
        <v>345.21500000000003</v>
      </c>
      <c r="L225" s="48">
        <f t="shared" si="243"/>
        <v>367.89000000000004</v>
      </c>
      <c r="M225" s="48">
        <f t="shared" si="243"/>
        <v>354.35</v>
      </c>
      <c r="N225" s="48">
        <f t="shared" si="243"/>
        <v>368</v>
      </c>
      <c r="O225" s="48">
        <f t="shared" si="243"/>
        <v>362.1</v>
      </c>
      <c r="P225" s="48">
        <f t="shared" si="243"/>
        <v>362.5625</v>
      </c>
      <c r="Q225" s="49">
        <f>$P$225+(1/7)*($W$225-$P$225)</f>
        <v>362.19642857142856</v>
      </c>
      <c r="R225" s="49">
        <f>$P$225+(2/7)*($W$225-$P$225)</f>
        <v>361.83035714285717</v>
      </c>
      <c r="S225" s="49">
        <f>$P$225+(3/7)*($W$225-$P$225)</f>
        <v>361.46428571428572</v>
      </c>
      <c r="T225" s="49">
        <f>$P$225+(4/7)*($W$225-$P$225)</f>
        <v>361.09821428571428</v>
      </c>
      <c r="U225" s="49">
        <f>$P$225+(5/7)*($W$225-$P$225)</f>
        <v>360.73214285714283</v>
      </c>
      <c r="V225" s="49">
        <f>$P$225+(6/7)*($W$225-$P$225)</f>
        <v>360.36607142857144</v>
      </c>
      <c r="W225" s="48">
        <f>W26</f>
        <v>360</v>
      </c>
      <c r="X225" s="190">
        <f>X26</f>
        <v>324</v>
      </c>
      <c r="Y225" s="456"/>
      <c r="Z225" s="57"/>
      <c r="AM225" s="90"/>
      <c r="AN225" s="90"/>
      <c r="AO225" s="90"/>
      <c r="AP225" s="90"/>
      <c r="AQ225" s="90"/>
      <c r="AR225" s="90"/>
      <c r="AS225" s="157"/>
      <c r="AT225" s="90"/>
      <c r="AU225" s="90"/>
      <c r="AV225" s="90"/>
      <c r="AW225" s="90"/>
      <c r="AX225" s="90"/>
      <c r="AY225" s="90"/>
      <c r="AZ225" s="90"/>
      <c r="BA225" s="90"/>
      <c r="BB225" s="90"/>
      <c r="BC225" s="90"/>
      <c r="BD225" s="90"/>
      <c r="BE225" s="90"/>
      <c r="BF225" s="90"/>
      <c r="BG225" s="90"/>
      <c r="BH225" s="90"/>
      <c r="BI225" s="90"/>
      <c r="BJ225" s="90"/>
      <c r="BK225" s="90"/>
      <c r="BL225" s="90"/>
      <c r="BM225" s="90"/>
      <c r="BN225" s="90"/>
      <c r="BO225" s="90"/>
      <c r="BP225" s="90"/>
      <c r="BQ225" s="90"/>
      <c r="BR225" s="90"/>
    </row>
    <row r="226" spans="1:70" x14ac:dyDescent="0.3">
      <c r="A226" s="16"/>
      <c r="B226" s="47" t="s">
        <v>297</v>
      </c>
      <c r="C226" s="16">
        <f t="shared" ref="C226:O226" si="244">C225*C66/1000</f>
        <v>2704669.1291188318</v>
      </c>
      <c r="D226" s="47">
        <f t="shared" si="244"/>
        <v>2717898.7398970863</v>
      </c>
      <c r="E226" s="47">
        <f t="shared" si="244"/>
        <v>2729672.5609536837</v>
      </c>
      <c r="F226" s="47">
        <f t="shared" si="244"/>
        <v>2745722.7506297007</v>
      </c>
      <c r="G226" s="47">
        <f t="shared" si="244"/>
        <v>2816599.618590354</v>
      </c>
      <c r="H226" s="47">
        <f t="shared" si="244"/>
        <v>2797273.7862947946</v>
      </c>
      <c r="I226" s="47">
        <f t="shared" si="244"/>
        <v>2749322.927787418</v>
      </c>
      <c r="J226" s="47">
        <f t="shared" si="244"/>
        <v>2753375.4025878827</v>
      </c>
      <c r="K226" s="47">
        <f t="shared" si="244"/>
        <v>2759807.1636850005</v>
      </c>
      <c r="L226" s="47">
        <f t="shared" si="244"/>
        <v>2958915.7250400004</v>
      </c>
      <c r="M226" s="47">
        <f t="shared" si="244"/>
        <v>2862670.3362000003</v>
      </c>
      <c r="N226" s="47">
        <f t="shared" si="244"/>
        <v>2985917.7760000001</v>
      </c>
      <c r="O226" s="47">
        <f t="shared" si="244"/>
        <v>2953429.1811000002</v>
      </c>
      <c r="P226" s="47">
        <f t="shared" ref="P226:V226" si="245">P225*P66/1000</f>
        <v>2972042.6453125002</v>
      </c>
      <c r="Q226" s="47">
        <f t="shared" si="245"/>
        <v>0</v>
      </c>
      <c r="R226" s="47">
        <f t="shared" si="245"/>
        <v>0</v>
      </c>
      <c r="S226" s="47">
        <f t="shared" si="245"/>
        <v>0</v>
      </c>
      <c r="T226" s="47">
        <f t="shared" si="245"/>
        <v>0</v>
      </c>
      <c r="U226" s="47">
        <f t="shared" si="245"/>
        <v>0</v>
      </c>
      <c r="V226" s="47">
        <f t="shared" si="245"/>
        <v>0</v>
      </c>
      <c r="W226" s="47">
        <f>W225*W66/1000</f>
        <v>3012408</v>
      </c>
      <c r="X226" s="47">
        <f>X225*X66/1000</f>
        <v>2711167.2</v>
      </c>
      <c r="Y226" s="121"/>
      <c r="Z226" s="74"/>
      <c r="AM226" s="90"/>
      <c r="AN226" s="90"/>
      <c r="AO226" s="90"/>
      <c r="AP226" s="90"/>
      <c r="AQ226" s="90"/>
      <c r="AR226" s="90"/>
      <c r="AS226" s="157"/>
      <c r="AT226" s="90"/>
      <c r="AU226" s="90"/>
      <c r="AV226" s="90"/>
      <c r="AW226" s="90"/>
      <c r="AX226" s="90"/>
      <c r="AY226" s="90"/>
      <c r="AZ226" s="90"/>
      <c r="BA226" s="90"/>
      <c r="BB226" s="90"/>
      <c r="BC226" s="90"/>
      <c r="BD226" s="90"/>
      <c r="BE226" s="90"/>
      <c r="BF226" s="90"/>
      <c r="BG226" s="90"/>
      <c r="BH226" s="90"/>
      <c r="BI226" s="90"/>
      <c r="BJ226" s="90"/>
      <c r="BK226" s="90"/>
      <c r="BL226" s="90"/>
      <c r="BM226" s="90"/>
      <c r="BN226" s="90"/>
      <c r="BO226" s="90"/>
      <c r="BP226" s="90"/>
      <c r="BQ226" s="90"/>
      <c r="BR226" s="90"/>
    </row>
    <row r="227" spans="1:70" x14ac:dyDescent="0.3">
      <c r="A227" s="16"/>
      <c r="B227" s="53" t="s">
        <v>300</v>
      </c>
      <c r="C227" s="58">
        <f t="shared" ref="C227:O227" si="246">C224-C226</f>
        <v>26852.870881168172</v>
      </c>
      <c r="D227" s="53">
        <f t="shared" si="246"/>
        <v>46466.260102913715</v>
      </c>
      <c r="E227" s="53">
        <f t="shared" si="246"/>
        <v>54652.439046316314</v>
      </c>
      <c r="F227" s="53">
        <f t="shared" si="246"/>
        <v>-7260.7506297007203</v>
      </c>
      <c r="G227" s="53">
        <f t="shared" si="246"/>
        <v>45742.381409646012</v>
      </c>
      <c r="H227" s="53">
        <f t="shared" si="246"/>
        <v>63419.213705205359</v>
      </c>
      <c r="I227" s="53">
        <f t="shared" si="246"/>
        <v>34100.072212581988</v>
      </c>
      <c r="J227" s="53">
        <f t="shared" si="246"/>
        <v>17161.597412117291</v>
      </c>
      <c r="K227" s="53">
        <f t="shared" si="246"/>
        <v>23847.836314999498</v>
      </c>
      <c r="L227" s="53">
        <f t="shared" si="246"/>
        <v>-201984.7250400004</v>
      </c>
      <c r="M227" s="53">
        <f t="shared" si="246"/>
        <v>-80934.336200000253</v>
      </c>
      <c r="N227" s="53">
        <f t="shared" si="246"/>
        <v>-255100.77600000007</v>
      </c>
      <c r="O227" s="53">
        <f t="shared" si="246"/>
        <v>-258308.18110000016</v>
      </c>
      <c r="P227" s="53">
        <f t="shared" ref="P227:V227" si="247">P224-P226</f>
        <v>-376408.64531250019</v>
      </c>
      <c r="Q227" s="53">
        <f t="shared" si="247"/>
        <v>0</v>
      </c>
      <c r="R227" s="53">
        <f t="shared" si="247"/>
        <v>0</v>
      </c>
      <c r="S227" s="53">
        <f t="shared" si="247"/>
        <v>0</v>
      </c>
      <c r="T227" s="53">
        <f t="shared" si="247"/>
        <v>0</v>
      </c>
      <c r="U227" s="53">
        <f t="shared" si="247"/>
        <v>0</v>
      </c>
      <c r="V227" s="53">
        <f t="shared" si="247"/>
        <v>0</v>
      </c>
      <c r="W227" s="53">
        <f>W224-W226</f>
        <v>-552459</v>
      </c>
      <c r="X227" s="53">
        <f>X224-X226</f>
        <v>-251218.20000000019</v>
      </c>
      <c r="Y227" s="90"/>
      <c r="Z227" s="332"/>
      <c r="AM227" s="90"/>
      <c r="AN227" s="90"/>
      <c r="AO227" s="90"/>
      <c r="AP227" s="90"/>
      <c r="AQ227" s="90"/>
      <c r="AR227" s="90"/>
      <c r="AS227" s="157"/>
      <c r="AT227" s="90"/>
      <c r="AU227" s="90"/>
      <c r="AV227" s="90"/>
      <c r="AW227" s="90"/>
      <c r="AX227" s="90"/>
      <c r="AY227" s="90"/>
      <c r="AZ227" s="90"/>
      <c r="BA227" s="90"/>
      <c r="BB227" s="90"/>
      <c r="BC227" s="90"/>
      <c r="BD227" s="90"/>
      <c r="BE227" s="90"/>
      <c r="BF227" s="90"/>
      <c r="BG227" s="90"/>
      <c r="BH227" s="90"/>
      <c r="BI227" s="90"/>
      <c r="BJ227" s="90"/>
      <c r="BK227" s="90"/>
      <c r="BL227" s="90"/>
      <c r="BM227" s="90"/>
      <c r="BN227" s="90"/>
      <c r="BO227" s="90"/>
      <c r="BP227" s="90"/>
      <c r="BQ227" s="90"/>
      <c r="BR227" s="90"/>
    </row>
    <row r="228" spans="1:70" x14ac:dyDescent="0.3">
      <c r="A228" s="205"/>
      <c r="B228" s="181" t="s">
        <v>298</v>
      </c>
      <c r="C228" s="205">
        <f>C227*'besoin alim animale'!$B$37</f>
        <v>1624.3821329003426</v>
      </c>
      <c r="D228" s="181">
        <f>D227*'besoin alim animale'!$B$37</f>
        <v>2810.8340083222242</v>
      </c>
      <c r="E228" s="181">
        <f>E227*'besoin alim animale'!$B$37</f>
        <v>3306.0318168259573</v>
      </c>
      <c r="F228" s="181">
        <f>F227*'besoin alim animale'!$B$37</f>
        <v>-439.21685865633151</v>
      </c>
      <c r="G228" s="181">
        <f>G227*'besoin alim animale'!$B$37</f>
        <v>2767.0451851109256</v>
      </c>
      <c r="H228" s="181">
        <f>H227*'besoin alim animale'!$B$37</f>
        <v>3836.3509838931086</v>
      </c>
      <c r="I228" s="181">
        <f>I227*'besoin alim animale'!$B$37</f>
        <v>2062.7793682788511</v>
      </c>
      <c r="J228" s="181">
        <f>J227*'besoin alim animale'!$B$37</f>
        <v>1038.1382434539662</v>
      </c>
      <c r="K228" s="181">
        <f>K227*'besoin alim animale'!$B$37</f>
        <v>1442.601775796865</v>
      </c>
      <c r="L228" s="181">
        <f>L227*'besoin alim animale'!$B$37</f>
        <v>-12218.446955847123</v>
      </c>
      <c r="M228" s="181">
        <f>M227*'besoin alim animale'!$B$37</f>
        <v>-4895.8746438403386</v>
      </c>
      <c r="N228" s="181">
        <f>N227*'besoin alim animale'!$B$37</f>
        <v>-15431.539683677425</v>
      </c>
      <c r="O228" s="181">
        <f>O227*'besoin alim animale'!$B$37</f>
        <v>-15625.56182605727</v>
      </c>
      <c r="P228" s="181">
        <f>P227*'besoin alim animale'!$B$37</f>
        <v>-22769.687487815034</v>
      </c>
      <c r="Q228" s="181">
        <f>Q227*'besoin alim animale'!$B$37</f>
        <v>0</v>
      </c>
      <c r="R228" s="181">
        <f>R227*'besoin alim animale'!$B$37</f>
        <v>0</v>
      </c>
      <c r="S228" s="181">
        <f>S227*'besoin alim animale'!$B$37</f>
        <v>0</v>
      </c>
      <c r="T228" s="181">
        <f>T227*'besoin alim animale'!$B$37</f>
        <v>0</v>
      </c>
      <c r="U228" s="181">
        <f>U227*'besoin alim animale'!$B$37</f>
        <v>0</v>
      </c>
      <c r="V228" s="181">
        <f>V227*'besoin alim animale'!$B$37</f>
        <v>0</v>
      </c>
      <c r="W228" s="181">
        <f>W227*'besoin alim animale'!$B$37</f>
        <v>-33419.314185483876</v>
      </c>
      <c r="X228" s="181">
        <f>X227*'besoin alim animale'!$B$37</f>
        <v>-15196.675146774207</v>
      </c>
      <c r="Y228" s="303"/>
      <c r="Z228" s="217"/>
      <c r="AM228" s="90"/>
      <c r="AN228" s="90"/>
      <c r="AO228" s="90"/>
      <c r="AP228" s="90"/>
      <c r="AQ228" s="90"/>
      <c r="AR228" s="90"/>
      <c r="AS228" s="157"/>
      <c r="AT228" s="90"/>
      <c r="AU228" s="90"/>
      <c r="AV228" s="90"/>
      <c r="AW228" s="90"/>
      <c r="AX228" s="90"/>
      <c r="AY228" s="90"/>
      <c r="AZ228" s="90"/>
      <c r="BA228" s="90"/>
      <c r="BB228" s="90"/>
      <c r="BC228" s="90"/>
      <c r="BD228" s="90"/>
      <c r="BE228" s="90"/>
      <c r="BF228" s="90"/>
      <c r="BG228" s="90"/>
      <c r="BH228" s="90"/>
      <c r="BI228" s="90"/>
      <c r="BJ228" s="90"/>
      <c r="BK228" s="90"/>
      <c r="BL228" s="90"/>
      <c r="BM228" s="90"/>
      <c r="BN228" s="90"/>
      <c r="BO228" s="90"/>
      <c r="BP228" s="90"/>
      <c r="BQ228" s="90"/>
      <c r="BR228" s="90"/>
    </row>
    <row r="229" spans="1:70" s="182" customFormat="1" x14ac:dyDescent="0.3">
      <c r="A229" s="144" t="s">
        <v>326</v>
      </c>
      <c r="B229" s="54" t="s">
        <v>139</v>
      </c>
      <c r="C229" s="144">
        <f t="shared" ref="C229:X229" si="248">SUM(C68,C75,C82)</f>
        <v>109264.59938761195</v>
      </c>
      <c r="D229" s="219">
        <f t="shared" si="248"/>
        <v>106028.12582753283</v>
      </c>
      <c r="E229" s="219">
        <f t="shared" si="248"/>
        <v>108110.51948786707</v>
      </c>
      <c r="F229" s="219">
        <f t="shared" si="248"/>
        <v>108198.59325431149</v>
      </c>
      <c r="G229" s="219">
        <f t="shared" si="248"/>
        <v>102842.23788186161</v>
      </c>
      <c r="H229" s="219">
        <f t="shared" si="248"/>
        <v>106654.30842023744</v>
      </c>
      <c r="I229" s="219">
        <f t="shared" si="248"/>
        <v>112935.14591986213</v>
      </c>
      <c r="J229" s="219">
        <f t="shared" si="248"/>
        <v>105371.33437292284</v>
      </c>
      <c r="K229" s="219">
        <f t="shared" si="248"/>
        <v>104608.44814393108</v>
      </c>
      <c r="L229" s="219">
        <f t="shared" si="248"/>
        <v>102003.3148726026</v>
      </c>
      <c r="M229" s="219">
        <f t="shared" si="248"/>
        <v>96402.708844357578</v>
      </c>
      <c r="N229" s="219">
        <f t="shared" si="248"/>
        <v>105871.96579753398</v>
      </c>
      <c r="O229" s="219">
        <f t="shared" si="248"/>
        <v>100605.28336768852</v>
      </c>
      <c r="P229" s="219">
        <f t="shared" si="248"/>
        <v>101273.35752601574</v>
      </c>
      <c r="Q229" s="219">
        <f t="shared" si="248"/>
        <v>0</v>
      </c>
      <c r="R229" s="219">
        <f t="shared" si="248"/>
        <v>0</v>
      </c>
      <c r="S229" s="219">
        <f t="shared" si="248"/>
        <v>0</v>
      </c>
      <c r="T229" s="219">
        <f t="shared" si="248"/>
        <v>0</v>
      </c>
      <c r="U229" s="219">
        <f t="shared" si="248"/>
        <v>0</v>
      </c>
      <c r="V229" s="219">
        <f t="shared" si="248"/>
        <v>0</v>
      </c>
      <c r="W229" s="219">
        <f t="shared" si="248"/>
        <v>102583.53556374609</v>
      </c>
      <c r="X229" s="223">
        <f t="shared" si="248"/>
        <v>102583.53556374609</v>
      </c>
      <c r="Y229" s="217"/>
      <c r="Z229" s="90"/>
      <c r="AM229" s="90"/>
      <c r="AN229" s="90"/>
      <c r="AO229" s="90"/>
      <c r="AP229" s="90"/>
      <c r="AQ229" s="90"/>
      <c r="AR229" s="157"/>
      <c r="AS229" s="90"/>
      <c r="AT229" s="90"/>
      <c r="AU229" s="90"/>
      <c r="AV229" s="90"/>
      <c r="AW229" s="90"/>
      <c r="AX229" s="90"/>
      <c r="AY229" s="90"/>
      <c r="AZ229" s="90"/>
      <c r="BA229" s="90"/>
      <c r="BB229" s="90"/>
      <c r="BC229" s="90"/>
      <c r="BD229" s="90"/>
      <c r="BE229" s="90"/>
      <c r="BF229" s="90"/>
      <c r="BG229" s="90"/>
      <c r="BH229" s="90"/>
      <c r="BI229" s="90"/>
      <c r="BJ229" s="90"/>
      <c r="BK229" s="90"/>
      <c r="BL229" s="90"/>
      <c r="BM229" s="90"/>
      <c r="BN229" s="90"/>
      <c r="BO229" s="90"/>
      <c r="BP229" s="90"/>
      <c r="BQ229" s="90"/>
      <c r="BR229" s="90"/>
    </row>
    <row r="230" spans="1:70" s="182" customFormat="1" x14ac:dyDescent="0.3">
      <c r="A230" s="205" t="s">
        <v>56</v>
      </c>
      <c r="B230" s="47" t="s">
        <v>138</v>
      </c>
      <c r="C230" s="205">
        <f t="shared" ref="C230:X230" si="249">SUM(C70,C77,C84)</f>
        <v>691633.17511974124</v>
      </c>
      <c r="D230" s="181">
        <f t="shared" si="249"/>
        <v>605959.09958928684</v>
      </c>
      <c r="E230" s="181">
        <f t="shared" si="249"/>
        <v>690681.2048115338</v>
      </c>
      <c r="F230" s="181">
        <f t="shared" si="249"/>
        <v>679907.39809798647</v>
      </c>
      <c r="G230" s="181">
        <f t="shared" si="249"/>
        <v>655315.61673883453</v>
      </c>
      <c r="H230" s="181">
        <f t="shared" si="249"/>
        <v>646473.90795454197</v>
      </c>
      <c r="I230" s="181">
        <f t="shared" si="249"/>
        <v>664385.27432767977</v>
      </c>
      <c r="J230" s="181">
        <f t="shared" si="249"/>
        <v>669846.60896930203</v>
      </c>
      <c r="K230" s="181">
        <f t="shared" si="249"/>
        <v>622150.06497722561</v>
      </c>
      <c r="L230" s="181">
        <f t="shared" si="249"/>
        <v>601152.85396029486</v>
      </c>
      <c r="M230" s="181">
        <f t="shared" si="249"/>
        <v>540649.36771026242</v>
      </c>
      <c r="N230" s="181">
        <f t="shared" si="249"/>
        <v>665635.96809995628</v>
      </c>
      <c r="O230" s="181">
        <f t="shared" si="249"/>
        <v>535328.14555351133</v>
      </c>
      <c r="P230" s="181">
        <f t="shared" si="249"/>
        <v>629515.94478893245</v>
      </c>
      <c r="Q230" s="181">
        <f t="shared" si="249"/>
        <v>0</v>
      </c>
      <c r="R230" s="181">
        <f t="shared" si="249"/>
        <v>0</v>
      </c>
      <c r="S230" s="181">
        <f t="shared" si="249"/>
        <v>0</v>
      </c>
      <c r="T230" s="181">
        <f t="shared" si="249"/>
        <v>0</v>
      </c>
      <c r="U230" s="181">
        <f t="shared" si="249"/>
        <v>0</v>
      </c>
      <c r="V230" s="181">
        <f t="shared" si="249"/>
        <v>0</v>
      </c>
      <c r="W230" s="181">
        <f t="shared" si="249"/>
        <v>589004.4078365704</v>
      </c>
      <c r="X230" s="206">
        <f t="shared" si="249"/>
        <v>589004.4078365704</v>
      </c>
      <c r="Y230" s="217"/>
      <c r="Z230" s="217"/>
      <c r="AM230" s="90"/>
      <c r="AN230" s="90"/>
      <c r="AO230" s="90"/>
      <c r="AP230" s="90"/>
      <c r="AQ230" s="90"/>
      <c r="AR230" s="157"/>
      <c r="AS230" s="90"/>
      <c r="AT230" s="90"/>
      <c r="AU230" s="90"/>
      <c r="AV230" s="90"/>
      <c r="AW230" s="90"/>
      <c r="AX230" s="90"/>
      <c r="AY230" s="90"/>
      <c r="AZ230" s="90"/>
      <c r="BA230" s="90"/>
      <c r="BB230" s="90"/>
      <c r="BC230" s="90"/>
      <c r="BD230" s="90"/>
      <c r="BE230" s="90"/>
      <c r="BF230" s="90"/>
      <c r="BG230" s="90"/>
      <c r="BH230" s="90"/>
      <c r="BI230" s="90"/>
      <c r="BJ230" s="90"/>
      <c r="BK230" s="90"/>
      <c r="BL230" s="90"/>
      <c r="BM230" s="90"/>
      <c r="BN230" s="90"/>
      <c r="BO230" s="90"/>
      <c r="BP230" s="90"/>
      <c r="BQ230" s="90"/>
      <c r="BR230" s="90"/>
    </row>
    <row r="231" spans="1:70" s="182" customFormat="1" x14ac:dyDescent="0.3">
      <c r="A231" s="205"/>
      <c r="B231" s="49" t="s">
        <v>327</v>
      </c>
      <c r="C231" s="205">
        <f t="shared" ref="C231:X231" si="250">SUM(C71,C78,C85)</f>
        <v>113.50000000000001</v>
      </c>
      <c r="D231" s="181">
        <f t="shared" si="250"/>
        <v>113.69999999999999</v>
      </c>
      <c r="E231" s="181">
        <f t="shared" si="250"/>
        <v>112.7</v>
      </c>
      <c r="F231" s="181">
        <f t="shared" si="250"/>
        <v>113.5</v>
      </c>
      <c r="G231" s="181">
        <f t="shared" si="250"/>
        <v>118.4</v>
      </c>
      <c r="H231" s="181">
        <f t="shared" si="250"/>
        <v>113</v>
      </c>
      <c r="I231" s="181">
        <f t="shared" si="250"/>
        <v>113.5</v>
      </c>
      <c r="J231" s="181">
        <f t="shared" si="250"/>
        <v>115.49999999999999</v>
      </c>
      <c r="K231" s="181">
        <f t="shared" si="250"/>
        <v>119.89999999999999</v>
      </c>
      <c r="L231" s="181">
        <f t="shared" si="250"/>
        <v>119.4</v>
      </c>
      <c r="M231" s="181">
        <f t="shared" si="250"/>
        <v>120.80000000000001</v>
      </c>
      <c r="N231" s="181">
        <f t="shared" si="250"/>
        <v>116.3</v>
      </c>
      <c r="O231" s="181">
        <f t="shared" si="250"/>
        <v>116.7</v>
      </c>
      <c r="P231" s="181">
        <f t="shared" si="250"/>
        <v>116.71250000000001</v>
      </c>
      <c r="Q231" s="181">
        <f t="shared" si="250"/>
        <v>116.72499999999999</v>
      </c>
      <c r="R231" s="181">
        <f t="shared" si="250"/>
        <v>116.7375</v>
      </c>
      <c r="S231" s="181">
        <f t="shared" si="250"/>
        <v>116.75</v>
      </c>
      <c r="T231" s="181">
        <f t="shared" si="250"/>
        <v>116.7625</v>
      </c>
      <c r="U231" s="181">
        <f t="shared" si="250"/>
        <v>116.77500000000001</v>
      </c>
      <c r="V231" s="181">
        <f t="shared" si="250"/>
        <v>116.78749999999999</v>
      </c>
      <c r="W231" s="181">
        <f t="shared" si="250"/>
        <v>116.8</v>
      </c>
      <c r="X231" s="206">
        <f t="shared" si="250"/>
        <v>122.64</v>
      </c>
      <c r="Y231" s="217"/>
      <c r="Z231" s="217"/>
      <c r="AM231" s="90"/>
      <c r="AN231" s="90"/>
      <c r="AO231" s="90"/>
      <c r="AP231" s="90"/>
      <c r="AQ231" s="90"/>
      <c r="AR231" s="157"/>
      <c r="AS231" s="90"/>
      <c r="AT231" s="90"/>
      <c r="AU231" s="90"/>
      <c r="AV231" s="90"/>
      <c r="AW231" s="90"/>
      <c r="AX231" s="90"/>
      <c r="AY231" s="90"/>
      <c r="AZ231" s="90"/>
      <c r="BA231" s="90"/>
      <c r="BB231" s="90"/>
      <c r="BC231" s="90"/>
      <c r="BD231" s="90"/>
      <c r="BE231" s="90"/>
      <c r="BF231" s="90"/>
      <c r="BG231" s="90"/>
      <c r="BH231" s="90"/>
      <c r="BI231" s="90"/>
      <c r="BJ231" s="90"/>
      <c r="BK231" s="90"/>
      <c r="BL231" s="90"/>
      <c r="BM231" s="90"/>
      <c r="BN231" s="90"/>
      <c r="BO231" s="90"/>
      <c r="BP231" s="90"/>
      <c r="BQ231" s="90"/>
      <c r="BR231" s="90"/>
    </row>
    <row r="232" spans="1:70" s="182" customFormat="1" x14ac:dyDescent="0.3">
      <c r="A232" s="205"/>
      <c r="B232" s="47" t="s">
        <v>297</v>
      </c>
      <c r="C232" s="205">
        <f t="shared" ref="C232:X232" si="251">SUM(C72,C79,C86)</f>
        <v>860111.853</v>
      </c>
      <c r="D232" s="181">
        <f t="shared" si="251"/>
        <v>868011.15509999986</v>
      </c>
      <c r="E232" s="181">
        <f t="shared" si="251"/>
        <v>867256.25280000002</v>
      </c>
      <c r="F232" s="181">
        <f t="shared" si="251"/>
        <v>880487.03249999997</v>
      </c>
      <c r="G232" s="181">
        <f t="shared" si="251"/>
        <v>926002.37440000009</v>
      </c>
      <c r="H232" s="181">
        <f t="shared" si="251"/>
        <v>890179.87400000007</v>
      </c>
      <c r="I232" s="181">
        <f t="shared" si="251"/>
        <v>898566.90150000015</v>
      </c>
      <c r="J232" s="181">
        <f t="shared" si="251"/>
        <v>918027.14850000001</v>
      </c>
      <c r="K232" s="181">
        <f t="shared" si="251"/>
        <v>958535.63410000002</v>
      </c>
      <c r="L232" s="181">
        <f t="shared" si="251"/>
        <v>960326.5584000001</v>
      </c>
      <c r="M232" s="181">
        <f t="shared" si="251"/>
        <v>975901.16159999999</v>
      </c>
      <c r="N232" s="181">
        <f t="shared" si="251"/>
        <v>943647.38410000002</v>
      </c>
      <c r="O232" s="181">
        <f t="shared" si="251"/>
        <v>951850.8297</v>
      </c>
      <c r="P232" s="181">
        <f t="shared" si="251"/>
        <v>956730.2940625</v>
      </c>
      <c r="Q232" s="181">
        <f t="shared" si="251"/>
        <v>0</v>
      </c>
      <c r="R232" s="181">
        <f t="shared" si="251"/>
        <v>0</v>
      </c>
      <c r="S232" s="181">
        <f t="shared" si="251"/>
        <v>0</v>
      </c>
      <c r="T232" s="181">
        <f t="shared" si="251"/>
        <v>0</v>
      </c>
      <c r="U232" s="181">
        <f t="shared" si="251"/>
        <v>0</v>
      </c>
      <c r="V232" s="181">
        <f t="shared" si="251"/>
        <v>0</v>
      </c>
      <c r="W232" s="181">
        <f t="shared" si="251"/>
        <v>977359.04</v>
      </c>
      <c r="X232" s="206">
        <f t="shared" si="251"/>
        <v>1026226.9920000001</v>
      </c>
      <c r="Y232" s="217"/>
      <c r="Z232" s="217"/>
      <c r="AM232" s="90"/>
      <c r="AN232" s="90"/>
      <c r="AO232" s="90"/>
      <c r="AP232" s="90"/>
      <c r="AQ232" s="90"/>
      <c r="AR232" s="157"/>
      <c r="AS232" s="90"/>
      <c r="AT232" s="90"/>
      <c r="AU232" s="90"/>
      <c r="AV232" s="90"/>
      <c r="AW232" s="90"/>
      <c r="AX232" s="90"/>
      <c r="AY232" s="90"/>
      <c r="AZ232" s="90"/>
      <c r="BA232" s="90"/>
      <c r="BB232" s="90"/>
      <c r="BC232" s="90"/>
      <c r="BD232" s="90"/>
      <c r="BE232" s="90"/>
      <c r="BF232" s="90"/>
      <c r="BG232" s="90"/>
      <c r="BH232" s="90"/>
      <c r="BI232" s="90"/>
      <c r="BJ232" s="90"/>
      <c r="BK232" s="90"/>
      <c r="BL232" s="90"/>
      <c r="BM232" s="90"/>
      <c r="BN232" s="90"/>
      <c r="BO232" s="90"/>
      <c r="BP232" s="90"/>
      <c r="BQ232" s="90"/>
      <c r="BR232" s="90"/>
    </row>
    <row r="233" spans="1:70" s="182" customFormat="1" x14ac:dyDescent="0.3">
      <c r="A233" s="18"/>
      <c r="B233" s="203" t="s">
        <v>298</v>
      </c>
      <c r="C233" s="18">
        <f t="shared" ref="C233:X233" si="252">(C230-C232)/C88</f>
        <v>-26616.356626840399</v>
      </c>
      <c r="D233" s="203">
        <f t="shared" si="252"/>
        <v>-45852.745397974591</v>
      </c>
      <c r="E233" s="203">
        <f t="shared" si="252"/>
        <v>-27638.829656349379</v>
      </c>
      <c r="F233" s="203">
        <f t="shared" si="252"/>
        <v>-31919.691326309505</v>
      </c>
      <c r="G233" s="203">
        <f t="shared" si="252"/>
        <v>-42480.342619324168</v>
      </c>
      <c r="H233" s="203">
        <f t="shared" si="252"/>
        <v>-40206.249543317841</v>
      </c>
      <c r="I233" s="203">
        <f t="shared" si="252"/>
        <v>-39807.228212906979</v>
      </c>
      <c r="J233" s="203">
        <f t="shared" si="252"/>
        <v>-39040.452344724843</v>
      </c>
      <c r="K233" s="203">
        <f t="shared" si="252"/>
        <v>-56559.943243330861</v>
      </c>
      <c r="L233" s="203">
        <f t="shared" si="252"/>
        <v>-60944.414097952802</v>
      </c>
      <c r="M233" s="203">
        <f t="shared" si="252"/>
        <v>-77609.36101348231</v>
      </c>
      <c r="N233" s="203">
        <f t="shared" si="252"/>
        <v>-44218.787049771738</v>
      </c>
      <c r="O233" s="203">
        <f t="shared" si="252"/>
        <v>-78277.936655656289</v>
      </c>
      <c r="P233" s="203">
        <f t="shared" si="252"/>
        <v>-52640.597995870172</v>
      </c>
      <c r="Q233" s="203" t="e">
        <f t="shared" si="252"/>
        <v>#DIV/0!</v>
      </c>
      <c r="R233" s="203" t="e">
        <f t="shared" si="252"/>
        <v>#DIV/0!</v>
      </c>
      <c r="S233" s="203" t="e">
        <f t="shared" si="252"/>
        <v>#DIV/0!</v>
      </c>
      <c r="T233" s="203" t="e">
        <f t="shared" si="252"/>
        <v>#DIV/0!</v>
      </c>
      <c r="U233" s="203" t="e">
        <f t="shared" si="252"/>
        <v>#DIV/0!</v>
      </c>
      <c r="V233" s="203" t="e">
        <f t="shared" si="252"/>
        <v>#DIV/0!</v>
      </c>
      <c r="W233" s="203">
        <f t="shared" si="252"/>
        <v>-67637.509481824949</v>
      </c>
      <c r="X233" s="19">
        <f t="shared" si="252"/>
        <v>-76148.56173410351</v>
      </c>
      <c r="Y233" s="217"/>
      <c r="Z233" s="217"/>
      <c r="AM233" s="90"/>
      <c r="AN233" s="90"/>
      <c r="AO233" s="90"/>
      <c r="AP233" s="90"/>
      <c r="AQ233" s="90"/>
      <c r="AR233" s="157"/>
      <c r="AS233" s="90"/>
      <c r="AT233" s="90"/>
      <c r="AU233" s="90"/>
      <c r="AV233" s="90"/>
      <c r="AW233" s="90"/>
      <c r="AX233" s="90"/>
      <c r="AY233" s="90"/>
      <c r="AZ233" s="90"/>
      <c r="BA233" s="90"/>
      <c r="BB233" s="90"/>
      <c r="BC233" s="90"/>
      <c r="BD233" s="90"/>
      <c r="BE233" s="90"/>
      <c r="BF233" s="90"/>
      <c r="BG233" s="90"/>
      <c r="BH233" s="90"/>
      <c r="BI233" s="90"/>
      <c r="BJ233" s="90"/>
      <c r="BK233" s="90"/>
      <c r="BL233" s="90"/>
      <c r="BM233" s="90"/>
      <c r="BN233" s="90"/>
      <c r="BO233" s="90"/>
      <c r="BP233" s="90"/>
      <c r="BQ233" s="90"/>
      <c r="BR233" s="90"/>
    </row>
    <row r="234" spans="1:70" s="182" customFormat="1" x14ac:dyDescent="0.3">
      <c r="A234" s="144" t="s">
        <v>326</v>
      </c>
      <c r="B234" s="13" t="s">
        <v>139</v>
      </c>
      <c r="C234" s="144">
        <f t="shared" ref="C234:X234" si="253">C90+C97+C104</f>
        <v>28644.73903622256</v>
      </c>
      <c r="D234" s="219">
        <f t="shared" si="253"/>
        <v>31695.080344833517</v>
      </c>
      <c r="E234" s="219">
        <f t="shared" si="253"/>
        <v>29524.569928317193</v>
      </c>
      <c r="F234" s="219">
        <f t="shared" si="253"/>
        <v>27142.865028255932</v>
      </c>
      <c r="G234" s="219">
        <f t="shared" si="253"/>
        <v>30061.132313314884</v>
      </c>
      <c r="H234" s="219">
        <f t="shared" si="253"/>
        <v>29819.669136709148</v>
      </c>
      <c r="I234" s="219">
        <f t="shared" si="253"/>
        <v>27488.824487563739</v>
      </c>
      <c r="J234" s="219">
        <f t="shared" si="253"/>
        <v>31320.880987059023</v>
      </c>
      <c r="K234" s="219">
        <f t="shared" si="253"/>
        <v>30649.068214395153</v>
      </c>
      <c r="L234" s="219">
        <f t="shared" si="253"/>
        <v>29236.131486788472</v>
      </c>
      <c r="M234" s="219">
        <f t="shared" si="253"/>
        <v>32564.118713328869</v>
      </c>
      <c r="N234" s="219">
        <f t="shared" si="253"/>
        <v>30944.40232687079</v>
      </c>
      <c r="O234" s="219">
        <f t="shared" si="253"/>
        <v>41414.249797780663</v>
      </c>
      <c r="P234" s="219">
        <f t="shared" si="253"/>
        <v>42133.578180961529</v>
      </c>
      <c r="Q234" s="219">
        <f t="shared" si="253"/>
        <v>0</v>
      </c>
      <c r="R234" s="219">
        <f t="shared" si="253"/>
        <v>0</v>
      </c>
      <c r="S234" s="219">
        <f t="shared" si="253"/>
        <v>0</v>
      </c>
      <c r="T234" s="219">
        <f t="shared" si="253"/>
        <v>0</v>
      </c>
      <c r="U234" s="219">
        <f t="shared" si="253"/>
        <v>0</v>
      </c>
      <c r="V234" s="219">
        <f t="shared" si="253"/>
        <v>0</v>
      </c>
      <c r="W234" s="219">
        <f t="shared" si="253"/>
        <v>38164.076768537663</v>
      </c>
      <c r="X234" s="223">
        <f t="shared" si="253"/>
        <v>38164.076768537663</v>
      </c>
      <c r="Y234" s="217"/>
      <c r="Z234" s="90"/>
      <c r="AM234" s="90"/>
      <c r="AN234" s="90"/>
      <c r="AO234" s="90"/>
      <c r="AP234" s="90"/>
      <c r="AQ234" s="90"/>
      <c r="AR234" s="157"/>
      <c r="AS234" s="90"/>
      <c r="AT234" s="90"/>
      <c r="AU234" s="90"/>
      <c r="AV234" s="90"/>
      <c r="AW234" s="90"/>
      <c r="AX234" s="90"/>
      <c r="AY234" s="90"/>
      <c r="AZ234" s="90"/>
      <c r="BA234" s="90"/>
      <c r="BB234" s="90"/>
      <c r="BC234" s="90"/>
      <c r="BD234" s="90"/>
      <c r="BE234" s="90"/>
      <c r="BF234" s="90"/>
      <c r="BG234" s="90"/>
      <c r="BH234" s="90"/>
      <c r="BI234" s="90"/>
      <c r="BJ234" s="90"/>
      <c r="BK234" s="90"/>
      <c r="BL234" s="90"/>
      <c r="BM234" s="90"/>
      <c r="BN234" s="90"/>
      <c r="BO234" s="90"/>
      <c r="BP234" s="90"/>
      <c r="BQ234" s="90"/>
      <c r="BR234" s="90"/>
    </row>
    <row r="235" spans="1:70" s="182" customFormat="1" x14ac:dyDescent="0.3">
      <c r="A235" s="205" t="s">
        <v>599</v>
      </c>
      <c r="B235" s="17" t="s">
        <v>138</v>
      </c>
      <c r="C235" s="205">
        <f t="shared" ref="C235:X235" si="254">C92+C99+C106</f>
        <v>35806.708659819</v>
      </c>
      <c r="D235" s="181">
        <f t="shared" si="254"/>
        <v>45500.448326900398</v>
      </c>
      <c r="E235" s="181">
        <f t="shared" si="254"/>
        <v>38625.927447029055</v>
      </c>
      <c r="F235" s="181">
        <f t="shared" si="254"/>
        <v>31104.412841482324</v>
      </c>
      <c r="G235" s="181">
        <f t="shared" si="254"/>
        <v>40563.970372910939</v>
      </c>
      <c r="H235" s="181">
        <f t="shared" si="254"/>
        <v>39141.743482327045</v>
      </c>
      <c r="I235" s="181">
        <f t="shared" si="254"/>
        <v>46064.661804537696</v>
      </c>
      <c r="J235" s="181">
        <f t="shared" si="254"/>
        <v>55561.128771392032</v>
      </c>
      <c r="K235" s="181">
        <f t="shared" si="254"/>
        <v>49469.949785268116</v>
      </c>
      <c r="L235" s="181">
        <f t="shared" si="254"/>
        <v>43429.249904553115</v>
      </c>
      <c r="M235" s="181">
        <f t="shared" si="254"/>
        <v>44000.081201960318</v>
      </c>
      <c r="N235" s="181">
        <f t="shared" si="254"/>
        <v>48749.775417853467</v>
      </c>
      <c r="O235" s="181">
        <f t="shared" si="254"/>
        <v>56872.923027129887</v>
      </c>
      <c r="P235" s="181">
        <f t="shared" si="254"/>
        <v>61228.761078235431</v>
      </c>
      <c r="Q235" s="181">
        <f t="shared" si="254"/>
        <v>0</v>
      </c>
      <c r="R235" s="181">
        <f t="shared" si="254"/>
        <v>0</v>
      </c>
      <c r="S235" s="181">
        <f t="shared" si="254"/>
        <v>0</v>
      </c>
      <c r="T235" s="181">
        <f t="shared" si="254"/>
        <v>0</v>
      </c>
      <c r="U235" s="181">
        <f t="shared" si="254"/>
        <v>0</v>
      </c>
      <c r="V235" s="181">
        <f t="shared" si="254"/>
        <v>0</v>
      </c>
      <c r="W235" s="181">
        <f t="shared" si="254"/>
        <v>54593.638635749092</v>
      </c>
      <c r="X235" s="206">
        <f t="shared" si="254"/>
        <v>54593.638635749092</v>
      </c>
      <c r="Y235" s="217"/>
      <c r="Z235" s="217"/>
      <c r="AM235" s="90"/>
      <c r="AN235" s="90"/>
      <c r="AO235" s="90"/>
      <c r="AP235" s="90"/>
      <c r="AQ235" s="90"/>
      <c r="AR235" s="157"/>
      <c r="AS235" s="90"/>
      <c r="AT235" s="90"/>
      <c r="AU235" s="90"/>
      <c r="AV235" s="90"/>
      <c r="AW235" s="90"/>
      <c r="AX235" s="90"/>
      <c r="AY235" s="90"/>
      <c r="AZ235" s="90"/>
      <c r="BA235" s="90"/>
      <c r="BB235" s="90"/>
      <c r="BC235" s="90"/>
      <c r="BD235" s="90"/>
      <c r="BE235" s="90"/>
      <c r="BF235" s="90"/>
      <c r="BG235" s="90"/>
      <c r="BH235" s="90"/>
      <c r="BI235" s="90"/>
      <c r="BJ235" s="90"/>
      <c r="BK235" s="90"/>
      <c r="BL235" s="90"/>
      <c r="BM235" s="90"/>
      <c r="BN235" s="90"/>
      <c r="BO235" s="90"/>
      <c r="BP235" s="90"/>
      <c r="BQ235" s="90"/>
      <c r="BR235" s="90"/>
    </row>
    <row r="236" spans="1:70" s="182" customFormat="1" x14ac:dyDescent="0.3">
      <c r="A236" s="205"/>
      <c r="B236" s="21" t="s">
        <v>327</v>
      </c>
      <c r="C236" s="205">
        <f t="shared" ref="C236:X236" si="255">C93+C100+C107</f>
        <v>12.075316369922525</v>
      </c>
      <c r="D236" s="181">
        <f t="shared" si="255"/>
        <v>11.384658350660498</v>
      </c>
      <c r="E236" s="181">
        <f t="shared" si="255"/>
        <v>13.30379757825863</v>
      </c>
      <c r="F236" s="181">
        <f t="shared" si="255"/>
        <v>12.83034239586549</v>
      </c>
      <c r="G236" s="181">
        <f t="shared" si="255"/>
        <v>11.147536413638093</v>
      </c>
      <c r="H236" s="181">
        <f t="shared" si="255"/>
        <v>13.160253684721855</v>
      </c>
      <c r="I236" s="181">
        <f t="shared" si="255"/>
        <v>14.687544306432667</v>
      </c>
      <c r="J236" s="181">
        <f t="shared" si="255"/>
        <v>15.397360759053262</v>
      </c>
      <c r="K236" s="181">
        <f t="shared" si="255"/>
        <v>13.468089993452978</v>
      </c>
      <c r="L236" s="181">
        <f t="shared" si="255"/>
        <v>13.249079394902704</v>
      </c>
      <c r="M236" s="181">
        <f t="shared" si="255"/>
        <v>13.746239735697159</v>
      </c>
      <c r="N236" s="181">
        <f t="shared" si="255"/>
        <v>12.852917473116914</v>
      </c>
      <c r="O236" s="181">
        <f t="shared" si="255"/>
        <v>13.222130790762829</v>
      </c>
      <c r="P236" s="181">
        <f t="shared" si="255"/>
        <v>13.244364441917476</v>
      </c>
      <c r="Q236" s="181">
        <f t="shared" si="255"/>
        <v>13.266598093072123</v>
      </c>
      <c r="R236" s="181">
        <f t="shared" si="255"/>
        <v>13.288831744226769</v>
      </c>
      <c r="S236" s="181">
        <f t="shared" si="255"/>
        <v>13.311065395381416</v>
      </c>
      <c r="T236" s="181">
        <f t="shared" si="255"/>
        <v>13.333299046536062</v>
      </c>
      <c r="U236" s="181">
        <f t="shared" si="255"/>
        <v>13.355532697690707</v>
      </c>
      <c r="V236" s="181">
        <f t="shared" si="255"/>
        <v>13.377766348845354</v>
      </c>
      <c r="W236" s="181">
        <f t="shared" si="255"/>
        <v>13.4</v>
      </c>
      <c r="X236" s="206">
        <f t="shared" si="255"/>
        <v>13.4</v>
      </c>
      <c r="Y236" s="217"/>
      <c r="Z236" s="217"/>
      <c r="AM236" s="90"/>
      <c r="AN236" s="90"/>
      <c r="AO236" s="90"/>
      <c r="AP236" s="90"/>
      <c r="AQ236" s="90"/>
      <c r="AR236" s="157"/>
      <c r="AS236" s="90"/>
      <c r="AT236" s="90"/>
      <c r="AU236" s="90"/>
      <c r="AV236" s="90"/>
      <c r="AW236" s="90"/>
      <c r="AX236" s="90"/>
      <c r="AY236" s="90"/>
      <c r="AZ236" s="90"/>
      <c r="BA236" s="90"/>
      <c r="BB236" s="90"/>
      <c r="BC236" s="90"/>
      <c r="BD236" s="90"/>
      <c r="BE236" s="90"/>
      <c r="BF236" s="90"/>
      <c r="BG236" s="90"/>
      <c r="BH236" s="90"/>
      <c r="BI236" s="90"/>
      <c r="BJ236" s="90"/>
      <c r="BK236" s="90"/>
      <c r="BL236" s="90"/>
      <c r="BM236" s="90"/>
      <c r="BN236" s="90"/>
      <c r="BO236" s="90"/>
      <c r="BP236" s="90"/>
      <c r="BQ236" s="90"/>
      <c r="BR236" s="90"/>
    </row>
    <row r="237" spans="1:70" s="182" customFormat="1" x14ac:dyDescent="0.3">
      <c r="A237" s="205"/>
      <c r="B237" s="17" t="s">
        <v>297</v>
      </c>
      <c r="C237" s="205">
        <f t="shared" ref="C237:X237" si="256">C94+C101+C108</f>
        <v>91507.689325949759</v>
      </c>
      <c r="D237" s="181">
        <f t="shared" si="256"/>
        <v>86913.020627754435</v>
      </c>
      <c r="E237" s="181">
        <f t="shared" si="256"/>
        <v>102376.23456726082</v>
      </c>
      <c r="F237" s="181">
        <f t="shared" si="256"/>
        <v>99532.600018454134</v>
      </c>
      <c r="G237" s="181">
        <f t="shared" si="256"/>
        <v>87184.50327482546</v>
      </c>
      <c r="H237" s="181">
        <f t="shared" si="256"/>
        <v>103672.50413162599</v>
      </c>
      <c r="I237" s="181">
        <f t="shared" si="256"/>
        <v>116279.65795660942</v>
      </c>
      <c r="J237" s="181">
        <f t="shared" si="256"/>
        <v>122382.64235549318</v>
      </c>
      <c r="K237" s="181">
        <f t="shared" si="256"/>
        <v>107670.09326097008</v>
      </c>
      <c r="L237" s="181">
        <f t="shared" si="256"/>
        <v>106561.49763212117</v>
      </c>
      <c r="M237" s="181">
        <f t="shared" si="256"/>
        <v>111051.08713326932</v>
      </c>
      <c r="N237" s="181">
        <f t="shared" si="256"/>
        <v>104287.37705554566</v>
      </c>
      <c r="O237" s="181">
        <f t="shared" si="256"/>
        <v>107844.86858260083</v>
      </c>
      <c r="P237" s="181">
        <f t="shared" si="256"/>
        <v>108568.35974884118</v>
      </c>
      <c r="Q237" s="181">
        <f t="shared" si="256"/>
        <v>0</v>
      </c>
      <c r="R237" s="181">
        <f t="shared" si="256"/>
        <v>0</v>
      </c>
      <c r="S237" s="181">
        <f t="shared" si="256"/>
        <v>0</v>
      </c>
      <c r="T237" s="181">
        <f t="shared" si="256"/>
        <v>0</v>
      </c>
      <c r="U237" s="181">
        <f t="shared" si="256"/>
        <v>0</v>
      </c>
      <c r="V237" s="181">
        <f t="shared" si="256"/>
        <v>0</v>
      </c>
      <c r="W237" s="181">
        <f t="shared" si="256"/>
        <v>112128.52</v>
      </c>
      <c r="X237" s="206">
        <f t="shared" si="256"/>
        <v>112128.52</v>
      </c>
      <c r="Y237" s="217"/>
      <c r="Z237" s="217"/>
      <c r="AM237" s="90"/>
      <c r="AN237" s="90"/>
      <c r="AO237" s="90"/>
      <c r="AP237" s="90"/>
      <c r="AQ237" s="90"/>
      <c r="AR237" s="157"/>
      <c r="AS237" s="90"/>
      <c r="AT237" s="90"/>
      <c r="AU237" s="90"/>
      <c r="AV237" s="90"/>
      <c r="AW237" s="90"/>
      <c r="AX237" s="90"/>
      <c r="AY237" s="90"/>
      <c r="AZ237" s="90"/>
      <c r="BA237" s="90"/>
      <c r="BB237" s="90"/>
      <c r="BC237" s="90"/>
      <c r="BD237" s="90"/>
      <c r="BE237" s="90"/>
      <c r="BF237" s="90"/>
      <c r="BG237" s="90"/>
      <c r="BH237" s="90"/>
      <c r="BI237" s="90"/>
      <c r="BJ237" s="90"/>
      <c r="BK237" s="90"/>
      <c r="BL237" s="90"/>
      <c r="BM237" s="90"/>
      <c r="BN237" s="90"/>
      <c r="BO237" s="90"/>
      <c r="BP237" s="90"/>
      <c r="BQ237" s="90"/>
      <c r="BR237" s="90"/>
    </row>
    <row r="238" spans="1:70" s="182" customFormat="1" x14ac:dyDescent="0.3">
      <c r="A238" s="18"/>
      <c r="B238" s="19" t="s">
        <v>298</v>
      </c>
      <c r="C238" s="18">
        <f t="shared" ref="C238:X238" si="257">(C235-C237)/C110</f>
        <v>-44559.807783546763</v>
      </c>
      <c r="D238" s="203">
        <f t="shared" si="257"/>
        <v>-28847.513697701001</v>
      </c>
      <c r="E238" s="203">
        <f t="shared" si="257"/>
        <v>-48728.937398440416</v>
      </c>
      <c r="F238" s="203">
        <f t="shared" si="257"/>
        <v>-59712.975716286339</v>
      </c>
      <c r="G238" s="203">
        <f t="shared" si="257"/>
        <v>-34549.52745497557</v>
      </c>
      <c r="H238" s="203">
        <f t="shared" si="257"/>
        <v>-49161.988212689161</v>
      </c>
      <c r="I238" s="203">
        <f t="shared" si="257"/>
        <v>-41900.398917704231</v>
      </c>
      <c r="J238" s="203">
        <f t="shared" si="257"/>
        <v>-37668.577306161598</v>
      </c>
      <c r="K238" s="203">
        <f t="shared" si="257"/>
        <v>-36057.852801895802</v>
      </c>
      <c r="L238" s="203">
        <f t="shared" si="257"/>
        <v>-42499.990206512288</v>
      </c>
      <c r="M238" s="203">
        <f t="shared" si="257"/>
        <v>-49623.929259884768</v>
      </c>
      <c r="N238" s="203">
        <f t="shared" si="257"/>
        <v>-35253.042185643309</v>
      </c>
      <c r="O238" s="203">
        <f t="shared" si="257"/>
        <v>-37117.221580226564</v>
      </c>
      <c r="P238" s="203">
        <f t="shared" si="257"/>
        <v>-32575.976494032177</v>
      </c>
      <c r="Q238" s="203" t="e">
        <f t="shared" si="257"/>
        <v>#DIV/0!</v>
      </c>
      <c r="R238" s="203" t="e">
        <f t="shared" si="257"/>
        <v>#DIV/0!</v>
      </c>
      <c r="S238" s="203" t="e">
        <f t="shared" si="257"/>
        <v>#DIV/0!</v>
      </c>
      <c r="T238" s="203" t="e">
        <f t="shared" si="257"/>
        <v>#DIV/0!</v>
      </c>
      <c r="U238" s="203" t="e">
        <f t="shared" si="257"/>
        <v>#DIV/0!</v>
      </c>
      <c r="V238" s="203" t="e">
        <f t="shared" si="257"/>
        <v>#DIV/0!</v>
      </c>
      <c r="W238" s="203">
        <f t="shared" si="257"/>
        <v>-40220.173707493901</v>
      </c>
      <c r="X238" s="19">
        <f t="shared" si="257"/>
        <v>-40220.173707493901</v>
      </c>
      <c r="Y238" s="217"/>
      <c r="Z238" s="217"/>
      <c r="AM238" s="90"/>
      <c r="AN238" s="90"/>
      <c r="AO238" s="90"/>
      <c r="AP238" s="90"/>
      <c r="AQ238" s="90"/>
      <c r="AR238" s="157"/>
      <c r="AS238" s="90"/>
      <c r="AT238" s="90"/>
      <c r="AU238" s="90"/>
      <c r="AV238" s="90"/>
      <c r="AW238" s="90"/>
      <c r="AX238" s="90"/>
      <c r="AY238" s="90"/>
      <c r="AZ238" s="90"/>
      <c r="BA238" s="90"/>
      <c r="BB238" s="90"/>
      <c r="BC238" s="90"/>
      <c r="BD238" s="90"/>
      <c r="BE238" s="90"/>
      <c r="BF238" s="90"/>
      <c r="BG238" s="90"/>
      <c r="BH238" s="90"/>
      <c r="BI238" s="90"/>
      <c r="BJ238" s="90"/>
      <c r="BK238" s="90"/>
      <c r="BL238" s="90"/>
      <c r="BM238" s="90"/>
      <c r="BN238" s="90"/>
      <c r="BO238" s="90"/>
      <c r="BP238" s="90"/>
      <c r="BQ238" s="90"/>
      <c r="BR238" s="90"/>
    </row>
    <row r="239" spans="1:70" s="182" customFormat="1" x14ac:dyDescent="0.3">
      <c r="A239" s="144" t="s">
        <v>326</v>
      </c>
      <c r="B239" s="54" t="s">
        <v>139</v>
      </c>
      <c r="C239" s="144">
        <f t="shared" ref="C239:W239" si="258">SUM(C169,C176,C183,C190)</f>
        <v>14988</v>
      </c>
      <c r="D239" s="219">
        <f t="shared" si="258"/>
        <v>14448</v>
      </c>
      <c r="E239" s="219">
        <f t="shared" si="258"/>
        <v>13838</v>
      </c>
      <c r="F239" s="219">
        <f t="shared" si="258"/>
        <v>13305</v>
      </c>
      <c r="G239" s="219">
        <f t="shared" si="258"/>
        <v>13303</v>
      </c>
      <c r="H239" s="219">
        <f t="shared" si="258"/>
        <v>13023</v>
      </c>
      <c r="I239" s="219">
        <f t="shared" si="258"/>
        <v>12989</v>
      </c>
      <c r="J239" s="219">
        <f t="shared" si="258"/>
        <v>12994</v>
      </c>
      <c r="K239" s="219">
        <f t="shared" si="258"/>
        <v>12961</v>
      </c>
      <c r="L239" s="219">
        <f t="shared" si="258"/>
        <v>12821</v>
      </c>
      <c r="M239" s="219">
        <f t="shared" si="258"/>
        <v>12783</v>
      </c>
      <c r="N239" s="219">
        <f t="shared" si="258"/>
        <v>12781</v>
      </c>
      <c r="O239" s="219">
        <f t="shared" si="258"/>
        <v>12455</v>
      </c>
      <c r="P239" s="219">
        <f t="shared" si="258"/>
        <v>12042</v>
      </c>
      <c r="Q239" s="219">
        <f t="shared" si="258"/>
        <v>0</v>
      </c>
      <c r="R239" s="219">
        <f t="shared" si="258"/>
        <v>0</v>
      </c>
      <c r="S239" s="219">
        <f t="shared" si="258"/>
        <v>0</v>
      </c>
      <c r="T239" s="219">
        <f t="shared" si="258"/>
        <v>0</v>
      </c>
      <c r="U239" s="219">
        <f t="shared" si="258"/>
        <v>0</v>
      </c>
      <c r="V239" s="219">
        <f t="shared" si="258"/>
        <v>0</v>
      </c>
      <c r="W239" s="219">
        <f t="shared" si="258"/>
        <v>12426</v>
      </c>
      <c r="X239" s="223">
        <f t="shared" ref="X239" si="259">SUM(X169,X176,X183,X190)</f>
        <v>12426</v>
      </c>
      <c r="Y239" s="217"/>
      <c r="Z239" s="217"/>
      <c r="AM239" s="90"/>
      <c r="AN239" s="90"/>
      <c r="AO239" s="90"/>
      <c r="AP239" s="90"/>
      <c r="AQ239" s="90"/>
      <c r="AR239" s="157"/>
      <c r="AS239" s="90"/>
      <c r="AT239" s="90"/>
      <c r="AU239" s="90"/>
      <c r="AV239" s="90"/>
      <c r="AW239" s="90"/>
      <c r="AX239" s="90"/>
      <c r="AY239" s="90"/>
      <c r="AZ239" s="90"/>
      <c r="BA239" s="90"/>
      <c r="BB239" s="90"/>
      <c r="BC239" s="90"/>
      <c r="BD239" s="90"/>
      <c r="BE239" s="90"/>
      <c r="BF239" s="90"/>
      <c r="BG239" s="90"/>
      <c r="BH239" s="90"/>
      <c r="BI239" s="90"/>
      <c r="BJ239" s="90"/>
      <c r="BK239" s="90"/>
      <c r="BL239" s="90"/>
      <c r="BM239" s="90"/>
      <c r="BN239" s="90"/>
      <c r="BO239" s="90"/>
      <c r="BP239" s="90"/>
      <c r="BQ239" s="90"/>
      <c r="BR239" s="90"/>
    </row>
    <row r="240" spans="1:70" s="182" customFormat="1" x14ac:dyDescent="0.3">
      <c r="A240" s="205" t="s">
        <v>89</v>
      </c>
      <c r="B240" s="47" t="s">
        <v>138</v>
      </c>
      <c r="C240" s="205">
        <f t="shared" ref="C240:W240" si="260">SUM(C171,C178,C185,C192)</f>
        <v>281624.8</v>
      </c>
      <c r="D240" s="181">
        <f t="shared" si="260"/>
        <v>307261.40000000002</v>
      </c>
      <c r="E240" s="181">
        <f t="shared" si="260"/>
        <v>275994.90000000002</v>
      </c>
      <c r="F240" s="181">
        <f t="shared" si="260"/>
        <v>248726.30000000002</v>
      </c>
      <c r="G240" s="181">
        <f t="shared" si="260"/>
        <v>300223.8</v>
      </c>
      <c r="H240" s="181">
        <f t="shared" si="260"/>
        <v>287667.59999999998</v>
      </c>
      <c r="I240" s="181">
        <f t="shared" si="260"/>
        <v>231781.59999999998</v>
      </c>
      <c r="J240" s="181">
        <f t="shared" si="260"/>
        <v>258825.80000000002</v>
      </c>
      <c r="K240" s="181">
        <f t="shared" si="260"/>
        <v>232398.69999999998</v>
      </c>
      <c r="L240" s="181">
        <f t="shared" si="260"/>
        <v>240126.40000000002</v>
      </c>
      <c r="M240" s="181">
        <f t="shared" si="260"/>
        <v>205348.90000000002</v>
      </c>
      <c r="N240" s="181">
        <f t="shared" si="260"/>
        <v>111996.1</v>
      </c>
      <c r="O240" s="181">
        <f t="shared" si="260"/>
        <v>222216.69999999998</v>
      </c>
      <c r="P240" s="181">
        <f t="shared" si="260"/>
        <v>222129.2</v>
      </c>
      <c r="Q240" s="181">
        <f t="shared" si="260"/>
        <v>0</v>
      </c>
      <c r="R240" s="181">
        <f t="shared" si="260"/>
        <v>0</v>
      </c>
      <c r="S240" s="181">
        <f t="shared" si="260"/>
        <v>0</v>
      </c>
      <c r="T240" s="181">
        <f t="shared" si="260"/>
        <v>0</v>
      </c>
      <c r="U240" s="181">
        <f t="shared" si="260"/>
        <v>0</v>
      </c>
      <c r="V240" s="181">
        <f t="shared" si="260"/>
        <v>0</v>
      </c>
      <c r="W240" s="181">
        <f t="shared" si="260"/>
        <v>179946.59999999998</v>
      </c>
      <c r="X240" s="206">
        <f t="shared" ref="X240" si="261">SUM(X171,X178,X185,X192)</f>
        <v>179946.59999999998</v>
      </c>
      <c r="Y240" s="217"/>
      <c r="Z240" s="217"/>
      <c r="AM240" s="90"/>
      <c r="AN240" s="90"/>
      <c r="AO240" s="90"/>
      <c r="AP240" s="90"/>
      <c r="AQ240" s="90"/>
      <c r="AR240" s="157"/>
      <c r="AS240" s="90"/>
      <c r="AT240" s="90"/>
      <c r="AU240" s="90"/>
      <c r="AV240" s="90"/>
      <c r="AW240" s="90"/>
      <c r="AX240" s="90"/>
      <c r="AY240" s="90"/>
      <c r="AZ240" s="90"/>
      <c r="BA240" s="90"/>
      <c r="BB240" s="90"/>
      <c r="BC240" s="90"/>
      <c r="BD240" s="90"/>
      <c r="BE240" s="90"/>
      <c r="BF240" s="90"/>
      <c r="BG240" s="90"/>
      <c r="BH240" s="90"/>
      <c r="BI240" s="90"/>
      <c r="BJ240" s="90"/>
      <c r="BK240" s="90"/>
      <c r="BL240" s="90"/>
      <c r="BM240" s="90"/>
      <c r="BN240" s="90"/>
      <c r="BO240" s="90"/>
      <c r="BP240" s="90"/>
      <c r="BQ240" s="90"/>
      <c r="BR240" s="90"/>
    </row>
    <row r="241" spans="1:70" s="182" customFormat="1" x14ac:dyDescent="0.3">
      <c r="A241" s="205"/>
      <c r="B241" s="49" t="s">
        <v>327</v>
      </c>
      <c r="C241" s="205">
        <f t="shared" ref="C241:W241" si="262">SUM(C172,C179,C186,C193)</f>
        <v>34.698739756172344</v>
      </c>
      <c r="D241" s="181">
        <f t="shared" si="262"/>
        <v>33.657770656839929</v>
      </c>
      <c r="E241" s="181">
        <f t="shared" si="262"/>
        <v>32.568862976474158</v>
      </c>
      <c r="F241" s="181">
        <f t="shared" si="262"/>
        <v>31.998593610633577</v>
      </c>
      <c r="G241" s="181">
        <f t="shared" si="262"/>
        <v>31.642332754075966</v>
      </c>
      <c r="H241" s="181">
        <f t="shared" si="262"/>
        <v>33.511658328592723</v>
      </c>
      <c r="I241" s="181">
        <f t="shared" si="262"/>
        <v>35.367612099820327</v>
      </c>
      <c r="J241" s="181">
        <f t="shared" si="262"/>
        <v>33.740201043538129</v>
      </c>
      <c r="K241" s="181">
        <f t="shared" si="262"/>
        <v>33.529978713385781</v>
      </c>
      <c r="L241" s="181">
        <f t="shared" si="262"/>
        <v>32.631108518321525</v>
      </c>
      <c r="M241" s="181">
        <f t="shared" si="262"/>
        <v>32.064557055542657</v>
      </c>
      <c r="N241" s="181">
        <f t="shared" si="262"/>
        <v>29.20570196298728</v>
      </c>
      <c r="O241" s="181">
        <f t="shared" si="262"/>
        <v>31.207230795198022</v>
      </c>
      <c r="P241" s="181">
        <f t="shared" si="262"/>
        <v>31.28132694579827</v>
      </c>
      <c r="Q241" s="181">
        <f t="shared" si="262"/>
        <v>31.355423096398518</v>
      </c>
      <c r="R241" s="181">
        <f t="shared" si="262"/>
        <v>31.429519246998765</v>
      </c>
      <c r="S241" s="181">
        <f t="shared" si="262"/>
        <v>31.503615397599013</v>
      </c>
      <c r="T241" s="181">
        <f t="shared" si="262"/>
        <v>31.577711548199257</v>
      </c>
      <c r="U241" s="181">
        <f t="shared" si="262"/>
        <v>31.651807698799505</v>
      </c>
      <c r="V241" s="181">
        <f t="shared" si="262"/>
        <v>31.725903849399749</v>
      </c>
      <c r="W241" s="181">
        <f t="shared" si="262"/>
        <v>31.8</v>
      </c>
      <c r="X241" s="206">
        <f t="shared" ref="X241" si="263">SUM(X172,X179,X186,X193)</f>
        <v>33.39</v>
      </c>
      <c r="Y241" s="217"/>
      <c r="Z241" s="217"/>
      <c r="AM241" s="90"/>
      <c r="AN241" s="90"/>
      <c r="AO241" s="90"/>
      <c r="AP241" s="90"/>
      <c r="AQ241" s="90"/>
      <c r="AR241" s="157"/>
      <c r="AS241" s="90"/>
      <c r="AT241" s="90"/>
      <c r="AU241" s="90"/>
      <c r="AV241" s="90"/>
      <c r="AW241" s="90"/>
      <c r="AX241" s="90"/>
      <c r="AY241" s="90"/>
      <c r="AZ241" s="90"/>
      <c r="BA241" s="90"/>
      <c r="BB241" s="90"/>
      <c r="BC241" s="90"/>
      <c r="BD241" s="90"/>
      <c r="BE241" s="90"/>
      <c r="BF241" s="90"/>
      <c r="BG241" s="90"/>
      <c r="BH241" s="90"/>
      <c r="BI241" s="90"/>
      <c r="BJ241" s="90"/>
      <c r="BK241" s="90"/>
      <c r="BL241" s="90"/>
      <c r="BM241" s="90"/>
      <c r="BN241" s="90"/>
      <c r="BO241" s="90"/>
      <c r="BP241" s="90"/>
      <c r="BQ241" s="90"/>
      <c r="BR241" s="90"/>
    </row>
    <row r="242" spans="1:70" s="182" customFormat="1" x14ac:dyDescent="0.3">
      <c r="A242" s="205"/>
      <c r="B242" s="47" t="s">
        <v>297</v>
      </c>
      <c r="C242" s="205">
        <f t="shared" ref="C242:W242" si="264">SUM(C173,C180,C187,C194)</f>
        <v>262949.75637397502</v>
      </c>
      <c r="D242" s="181">
        <f t="shared" si="264"/>
        <v>256950.92687717249</v>
      </c>
      <c r="E242" s="181">
        <f t="shared" si="264"/>
        <v>250625.99878379444</v>
      </c>
      <c r="F242" s="181">
        <f t="shared" si="264"/>
        <v>248232.12980088298</v>
      </c>
      <c r="G242" s="181">
        <f t="shared" si="264"/>
        <v>247473.6086303145</v>
      </c>
      <c r="H242" s="181">
        <f t="shared" si="264"/>
        <v>263994.72379183827</v>
      </c>
      <c r="I242" s="181">
        <f t="shared" si="264"/>
        <v>280001.45918933442</v>
      </c>
      <c r="J242" s="181">
        <f t="shared" si="264"/>
        <v>268176.80133174057</v>
      </c>
      <c r="K242" s="181">
        <f t="shared" si="264"/>
        <v>268054.04009503539</v>
      </c>
      <c r="L242" s="181">
        <f t="shared" si="264"/>
        <v>262449.91742191487</v>
      </c>
      <c r="M242" s="181">
        <f t="shared" si="264"/>
        <v>259038.3979858738</v>
      </c>
      <c r="N242" s="181">
        <f t="shared" si="264"/>
        <v>236972.34959739621</v>
      </c>
      <c r="O242" s="181">
        <f t="shared" si="264"/>
        <v>254538.376392876</v>
      </c>
      <c r="P242" s="181">
        <f t="shared" si="264"/>
        <v>256423.20340596582</v>
      </c>
      <c r="Q242" s="181">
        <f t="shared" si="264"/>
        <v>0</v>
      </c>
      <c r="R242" s="181">
        <f t="shared" si="264"/>
        <v>0</v>
      </c>
      <c r="S242" s="181">
        <f t="shared" si="264"/>
        <v>0</v>
      </c>
      <c r="T242" s="181">
        <f t="shared" si="264"/>
        <v>0</v>
      </c>
      <c r="U242" s="181">
        <f t="shared" si="264"/>
        <v>0</v>
      </c>
      <c r="V242" s="181">
        <f t="shared" si="264"/>
        <v>0</v>
      </c>
      <c r="W242" s="181">
        <f t="shared" si="264"/>
        <v>266096.04000000004</v>
      </c>
      <c r="X242" s="206">
        <f t="shared" ref="X242" si="265">SUM(X173,X180,X187,X194)</f>
        <v>279400.842</v>
      </c>
      <c r="Y242" s="217"/>
      <c r="Z242" s="217"/>
      <c r="AM242" s="90"/>
      <c r="AN242" s="90"/>
      <c r="AO242" s="90"/>
      <c r="AP242" s="90"/>
      <c r="AQ242" s="90"/>
      <c r="AR242" s="157"/>
      <c r="AS242" s="90"/>
      <c r="AT242" s="90"/>
      <c r="AU242" s="90"/>
      <c r="AV242" s="90"/>
      <c r="AW242" s="90"/>
      <c r="AX242" s="90"/>
      <c r="AY242" s="90"/>
      <c r="AZ242" s="90"/>
      <c r="BA242" s="90"/>
      <c r="BB242" s="90"/>
      <c r="BC242" s="90"/>
      <c r="BD242" s="90"/>
      <c r="BE242" s="90"/>
      <c r="BF242" s="90"/>
      <c r="BG242" s="90"/>
      <c r="BH242" s="90"/>
      <c r="BI242" s="90"/>
      <c r="BJ242" s="90"/>
      <c r="BK242" s="90"/>
      <c r="BL242" s="90"/>
      <c r="BM242" s="90"/>
      <c r="BN242" s="90"/>
      <c r="BO242" s="90"/>
      <c r="BP242" s="90"/>
      <c r="BQ242" s="90"/>
      <c r="BR242" s="90"/>
    </row>
    <row r="243" spans="1:70" s="182" customFormat="1" x14ac:dyDescent="0.3">
      <c r="A243" s="18"/>
      <c r="B243" s="203" t="s">
        <v>298</v>
      </c>
      <c r="C243" s="205">
        <f t="shared" ref="C243:P243" si="266">(C240-C242)/C196</f>
        <v>993.88105687731434</v>
      </c>
      <c r="D243" s="181">
        <f t="shared" si="266"/>
        <v>2365.6916087689901</v>
      </c>
      <c r="E243" s="181">
        <f t="shared" si="266"/>
        <v>1271.9613841772182</v>
      </c>
      <c r="F243" s="181">
        <f t="shared" si="266"/>
        <v>26.434416059951172</v>
      </c>
      <c r="G243" s="181">
        <f t="shared" si="266"/>
        <v>2337.3756370778265</v>
      </c>
      <c r="H243" s="181">
        <f t="shared" si="266"/>
        <v>1071.6947854360028</v>
      </c>
      <c r="I243" s="181">
        <f t="shared" si="266"/>
        <v>-2702.2324076210757</v>
      </c>
      <c r="J243" s="181">
        <f t="shared" si="266"/>
        <v>-469.4544025542923</v>
      </c>
      <c r="K243" s="181">
        <f t="shared" si="266"/>
        <v>-1988.5174184354476</v>
      </c>
      <c r="L243" s="181">
        <f t="shared" si="266"/>
        <v>-1191.9131626775327</v>
      </c>
      <c r="M243" s="181">
        <f t="shared" si="266"/>
        <v>-3342.1793481894688</v>
      </c>
      <c r="N243" s="181">
        <f t="shared" si="266"/>
        <v>-14262.295259427077</v>
      </c>
      <c r="O243" s="181">
        <f t="shared" si="266"/>
        <v>-1811.5941757449859</v>
      </c>
      <c r="P243" s="181">
        <f t="shared" si="266"/>
        <v>-1859.1359848891555</v>
      </c>
      <c r="Q243" s="181"/>
      <c r="R243" s="181"/>
      <c r="S243" s="181"/>
      <c r="T243" s="181"/>
      <c r="U243" s="181"/>
      <c r="V243" s="181"/>
      <c r="W243" s="181">
        <f>(W240-W242)/W196</f>
        <v>-5948.9478625325555</v>
      </c>
      <c r="X243" s="206">
        <f>(X240-X242)/X196</f>
        <v>-6867.6952556591805</v>
      </c>
      <c r="Y243" s="217"/>
      <c r="Z243" s="217"/>
      <c r="AA243" s="217"/>
      <c r="AB243" s="217"/>
      <c r="AC243" s="217"/>
      <c r="AD243" s="217"/>
      <c r="AE243" s="217"/>
      <c r="AF243" s="217"/>
      <c r="AG243" s="217"/>
      <c r="AH243" s="217"/>
      <c r="AI243" s="217"/>
      <c r="AJ243" s="217"/>
      <c r="AK243" s="217"/>
      <c r="AL243" s="217"/>
      <c r="AM243" s="217"/>
      <c r="AN243" s="217"/>
      <c r="AO243" s="217"/>
      <c r="AP243" s="217"/>
      <c r="AQ243" s="217"/>
      <c r="AR243" s="217"/>
      <c r="AS243" s="217"/>
      <c r="AT243" s="217"/>
      <c r="AU243" s="90"/>
      <c r="AV243" s="90"/>
      <c r="AW243" s="90"/>
      <c r="AX243" s="90"/>
      <c r="AY243" s="90"/>
      <c r="AZ243" s="90"/>
      <c r="BA243" s="90"/>
      <c r="BB243" s="90"/>
      <c r="BC243" s="90"/>
      <c r="BD243" s="90"/>
      <c r="BE243" s="90"/>
      <c r="BF243" s="90"/>
      <c r="BG243" s="90"/>
      <c r="BH243" s="90"/>
      <c r="BI243" s="90"/>
      <c r="BJ243" s="90"/>
      <c r="BK243" s="90"/>
      <c r="BL243" s="90"/>
      <c r="BM243" s="90"/>
      <c r="BN243" s="90"/>
      <c r="BO243" s="90"/>
      <c r="BP243" s="90"/>
      <c r="BQ243" s="90"/>
      <c r="BR243" s="90"/>
    </row>
    <row r="244" spans="1:70" s="182" customFormat="1" x14ac:dyDescent="0.3">
      <c r="A244" s="144" t="s">
        <v>326</v>
      </c>
      <c r="B244" s="54" t="s">
        <v>139</v>
      </c>
      <c r="C244" s="144">
        <f t="shared" ref="C244:W244" si="267">SUM(C119,C126,C133,C140,C147,C154,C161)</f>
        <v>5884</v>
      </c>
      <c r="D244" s="219">
        <f t="shared" si="267"/>
        <v>6205</v>
      </c>
      <c r="E244" s="219">
        <f t="shared" si="267"/>
        <v>6278</v>
      </c>
      <c r="F244" s="219">
        <f t="shared" si="267"/>
        <v>6394</v>
      </c>
      <c r="G244" s="219">
        <f t="shared" si="267"/>
        <v>6637</v>
      </c>
      <c r="H244" s="219">
        <f t="shared" si="267"/>
        <v>6616</v>
      </c>
      <c r="I244" s="219">
        <f t="shared" si="267"/>
        <v>6722</v>
      </c>
      <c r="J244" s="219">
        <f t="shared" si="267"/>
        <v>6778</v>
      </c>
      <c r="K244" s="219">
        <f t="shared" si="267"/>
        <v>6742</v>
      </c>
      <c r="L244" s="219">
        <f t="shared" si="267"/>
        <v>6872</v>
      </c>
      <c r="M244" s="219">
        <f t="shared" si="267"/>
        <v>6753</v>
      </c>
      <c r="N244" s="219">
        <f t="shared" si="267"/>
        <v>6936</v>
      </c>
      <c r="O244" s="219">
        <f t="shared" si="267"/>
        <v>6757</v>
      </c>
      <c r="P244" s="219">
        <f t="shared" si="267"/>
        <v>6875</v>
      </c>
      <c r="Q244" s="219">
        <f t="shared" si="267"/>
        <v>0</v>
      </c>
      <c r="R244" s="219">
        <f t="shared" si="267"/>
        <v>0</v>
      </c>
      <c r="S244" s="219">
        <f t="shared" si="267"/>
        <v>0</v>
      </c>
      <c r="T244" s="219">
        <f t="shared" si="267"/>
        <v>0</v>
      </c>
      <c r="U244" s="219">
        <f t="shared" si="267"/>
        <v>0</v>
      </c>
      <c r="V244" s="219">
        <f t="shared" si="267"/>
        <v>0</v>
      </c>
      <c r="W244" s="219">
        <f t="shared" si="267"/>
        <v>6855.9999999999991</v>
      </c>
      <c r="X244" s="223">
        <f t="shared" ref="X244" si="268">SUM(X119,X126,X133,X140,X147,X154,X161)</f>
        <v>6855.9999999999991</v>
      </c>
      <c r="Y244" s="217"/>
      <c r="Z244" s="217"/>
      <c r="AM244" s="90"/>
      <c r="AN244" s="90"/>
      <c r="AO244" s="90"/>
      <c r="AP244" s="90"/>
      <c r="AQ244" s="90"/>
      <c r="AR244" s="157"/>
      <c r="AS244" s="90"/>
      <c r="AT244" s="90"/>
      <c r="AU244" s="90"/>
      <c r="AV244" s="90"/>
      <c r="AW244" s="90"/>
      <c r="AX244" s="90"/>
      <c r="AY244" s="90"/>
      <c r="AZ244" s="90"/>
      <c r="BA244" s="90"/>
      <c r="BB244" s="90"/>
      <c r="BC244" s="90"/>
      <c r="BD244" s="90"/>
      <c r="BE244" s="90"/>
      <c r="BF244" s="90"/>
      <c r="BG244" s="90"/>
      <c r="BH244" s="90"/>
      <c r="BI244" s="90"/>
      <c r="BJ244" s="90"/>
      <c r="BK244" s="90"/>
      <c r="BL244" s="90"/>
      <c r="BM244" s="90"/>
      <c r="BN244" s="90"/>
      <c r="BO244" s="90"/>
      <c r="BP244" s="90"/>
      <c r="BQ244" s="90"/>
      <c r="BR244" s="90"/>
    </row>
    <row r="245" spans="1:70" s="182" customFormat="1" x14ac:dyDescent="0.3">
      <c r="A245" s="205" t="s">
        <v>276</v>
      </c>
      <c r="B245" s="47" t="s">
        <v>138</v>
      </c>
      <c r="C245" s="205">
        <f t="shared" ref="C245:W245" si="269">SUM(C121,C128,C135,C142,C149,C156,C163)</f>
        <v>211473.6</v>
      </c>
      <c r="D245" s="181">
        <f t="shared" si="269"/>
        <v>231919.59999999998</v>
      </c>
      <c r="E245" s="181">
        <f t="shared" si="269"/>
        <v>235121.39999999997</v>
      </c>
      <c r="F245" s="181">
        <f t="shared" si="269"/>
        <v>227399.2</v>
      </c>
      <c r="G245" s="181">
        <f t="shared" si="269"/>
        <v>236232.19999999998</v>
      </c>
      <c r="H245" s="181">
        <f t="shared" si="269"/>
        <v>230492.3</v>
      </c>
      <c r="I245" s="181">
        <f t="shared" si="269"/>
        <v>246439.30000000002</v>
      </c>
      <c r="J245" s="181">
        <f t="shared" si="269"/>
        <v>247599</v>
      </c>
      <c r="K245" s="181">
        <f t="shared" si="269"/>
        <v>260240.5</v>
      </c>
      <c r="L245" s="181">
        <f t="shared" si="269"/>
        <v>259004.9</v>
      </c>
      <c r="M245" s="181">
        <f t="shared" si="269"/>
        <v>275394.8</v>
      </c>
      <c r="N245" s="181">
        <f t="shared" si="269"/>
        <v>273842.5</v>
      </c>
      <c r="O245" s="181">
        <f t="shared" si="269"/>
        <v>236140.1</v>
      </c>
      <c r="P245" s="181">
        <f t="shared" si="269"/>
        <v>240720.40000000002</v>
      </c>
      <c r="Q245" s="181">
        <f t="shared" si="269"/>
        <v>0</v>
      </c>
      <c r="R245" s="181">
        <f t="shared" si="269"/>
        <v>0</v>
      </c>
      <c r="S245" s="181">
        <f t="shared" si="269"/>
        <v>0</v>
      </c>
      <c r="T245" s="181">
        <f t="shared" si="269"/>
        <v>0</v>
      </c>
      <c r="U245" s="181">
        <f t="shared" si="269"/>
        <v>0</v>
      </c>
      <c r="V245" s="181">
        <f t="shared" si="269"/>
        <v>0</v>
      </c>
      <c r="W245" s="181">
        <f t="shared" si="269"/>
        <v>255348.00000000003</v>
      </c>
      <c r="X245" s="206">
        <f t="shared" ref="X245" si="270">SUM(X121,X128,X135,X142,X149,X156,X163)</f>
        <v>255348.00000000003</v>
      </c>
      <c r="Y245" s="217"/>
      <c r="Z245" s="217"/>
      <c r="AR245" s="183"/>
    </row>
    <row r="246" spans="1:70" s="182" customFormat="1" x14ac:dyDescent="0.3">
      <c r="A246" s="205"/>
      <c r="B246" s="49" t="s">
        <v>327</v>
      </c>
      <c r="C246" s="205">
        <f t="shared" ref="C246:W246" si="271">SUM(C122,C129,C136,C143,C150,C157,C164)</f>
        <v>104.5534550535818</v>
      </c>
      <c r="D246" s="181">
        <f t="shared" si="271"/>
        <v>103.66696352884964</v>
      </c>
      <c r="E246" s="181">
        <f t="shared" si="271"/>
        <v>101.50960911983503</v>
      </c>
      <c r="F246" s="181">
        <f t="shared" si="271"/>
        <v>101.71067203743799</v>
      </c>
      <c r="G246" s="181">
        <f t="shared" si="271"/>
        <v>101.26831058082472</v>
      </c>
      <c r="H246" s="181">
        <f t="shared" si="271"/>
        <v>100.99155019653639</v>
      </c>
      <c r="I246" s="181">
        <f t="shared" si="271"/>
        <v>102.6080458898625</v>
      </c>
      <c r="J246" s="181">
        <f t="shared" si="271"/>
        <v>101.96176497757172</v>
      </c>
      <c r="K246" s="181">
        <f t="shared" si="271"/>
        <v>99.908644287523302</v>
      </c>
      <c r="L246" s="181">
        <f t="shared" si="271"/>
        <v>99.524633603929459</v>
      </c>
      <c r="M246" s="181">
        <f t="shared" si="271"/>
        <v>102.65958810803646</v>
      </c>
      <c r="N246" s="181">
        <f t="shared" si="271"/>
        <v>103.8559562473295</v>
      </c>
      <c r="O246" s="181">
        <f t="shared" si="271"/>
        <v>100.75859119780154</v>
      </c>
      <c r="P246" s="181">
        <f t="shared" si="271"/>
        <v>100.75126729807633</v>
      </c>
      <c r="Q246" s="181">
        <f t="shared" si="271"/>
        <v>100.74394339835115</v>
      </c>
      <c r="R246" s="181">
        <f t="shared" si="271"/>
        <v>100.73661949862596</v>
      </c>
      <c r="S246" s="181">
        <f t="shared" si="271"/>
        <v>100.72929559890076</v>
      </c>
      <c r="T246" s="181">
        <f t="shared" si="271"/>
        <v>100.72197169917558</v>
      </c>
      <c r="U246" s="181">
        <f t="shared" si="271"/>
        <v>100.71464779945038</v>
      </c>
      <c r="V246" s="181">
        <f t="shared" si="271"/>
        <v>100.7073238997252</v>
      </c>
      <c r="W246" s="181">
        <f t="shared" si="271"/>
        <v>100.7</v>
      </c>
      <c r="X246" s="206">
        <f t="shared" ref="X246" si="272">SUM(X122,X129,X136,X143,X150,X157,X164)</f>
        <v>103.36</v>
      </c>
      <c r="Y246" s="217"/>
      <c r="Z246" s="217"/>
      <c r="AR246" s="183"/>
    </row>
    <row r="247" spans="1:70" s="182" customFormat="1" x14ac:dyDescent="0.3">
      <c r="A247" s="205"/>
      <c r="B247" s="47" t="s">
        <v>297</v>
      </c>
      <c r="C247" s="205">
        <f t="shared" ref="C247:W247" si="273">SUM(C123,C130,C137,C144,C151,C158,C165)</f>
        <v>792314.2375655371</v>
      </c>
      <c r="D247" s="181">
        <f t="shared" si="273"/>
        <v>791416.71731210488</v>
      </c>
      <c r="E247" s="181">
        <f t="shared" si="273"/>
        <v>781143.24071393814</v>
      </c>
      <c r="F247" s="181">
        <f t="shared" si="273"/>
        <v>789030.20084426866</v>
      </c>
      <c r="G247" s="181">
        <f t="shared" si="273"/>
        <v>792016.01393007021</v>
      </c>
      <c r="H247" s="181">
        <f t="shared" si="273"/>
        <v>795580.93300015421</v>
      </c>
      <c r="I247" s="181">
        <f t="shared" si="273"/>
        <v>812336.50981694774</v>
      </c>
      <c r="J247" s="181">
        <f t="shared" si="273"/>
        <v>810421.37106828846</v>
      </c>
      <c r="K247" s="181">
        <f t="shared" si="273"/>
        <v>798715.56050218933</v>
      </c>
      <c r="L247" s="181">
        <f t="shared" si="273"/>
        <v>800470.25849985401</v>
      </c>
      <c r="M247" s="181">
        <f t="shared" si="273"/>
        <v>829351.08678816492</v>
      </c>
      <c r="N247" s="181">
        <f t="shared" si="273"/>
        <v>842677.57038690057</v>
      </c>
      <c r="O247" s="181">
        <f t="shared" si="273"/>
        <v>821826.46641842765</v>
      </c>
      <c r="P247" s="181">
        <f t="shared" si="273"/>
        <v>825890.88220420363</v>
      </c>
      <c r="Q247" s="181">
        <f t="shared" si="273"/>
        <v>0</v>
      </c>
      <c r="R247" s="181">
        <f t="shared" si="273"/>
        <v>0</v>
      </c>
      <c r="S247" s="181">
        <f t="shared" si="273"/>
        <v>0</v>
      </c>
      <c r="T247" s="181">
        <f t="shared" si="273"/>
        <v>0</v>
      </c>
      <c r="U247" s="181">
        <f t="shared" si="273"/>
        <v>0</v>
      </c>
      <c r="V247" s="181">
        <f t="shared" si="273"/>
        <v>0</v>
      </c>
      <c r="W247" s="181">
        <f t="shared" si="273"/>
        <v>842637.46000000008</v>
      </c>
      <c r="X247" s="206">
        <f t="shared" ref="X247" si="274">SUM(X123,X130,X137,X144,X151,X158,X165)</f>
        <v>864895.80799999996</v>
      </c>
      <c r="Y247" s="217"/>
      <c r="Z247" s="217"/>
      <c r="AR247" s="183"/>
    </row>
    <row r="248" spans="1:70" s="182" customFormat="1" x14ac:dyDescent="0.3">
      <c r="A248" s="18"/>
      <c r="B248" s="203" t="s">
        <v>298</v>
      </c>
      <c r="C248" s="18">
        <f t="shared" ref="C248:P248" si="275">(C245-C247)/C167</f>
        <v>-16161.196061520779</v>
      </c>
      <c r="D248" s="203">
        <f t="shared" si="275"/>
        <v>-14969.323907602509</v>
      </c>
      <c r="E248" s="203">
        <f t="shared" si="275"/>
        <v>-14579.38373964303</v>
      </c>
      <c r="F248" s="203">
        <f t="shared" si="275"/>
        <v>-15791.914041026765</v>
      </c>
      <c r="G248" s="203">
        <f t="shared" si="275"/>
        <v>-15614.878805911627</v>
      </c>
      <c r="H248" s="203">
        <f t="shared" si="275"/>
        <v>-16220.179137997324</v>
      </c>
      <c r="I248" s="203">
        <f t="shared" si="275"/>
        <v>-15435.691646541451</v>
      </c>
      <c r="J248" s="203">
        <f t="shared" si="275"/>
        <v>-15407.210978642317</v>
      </c>
      <c r="K248" s="203">
        <f t="shared" si="275"/>
        <v>-13950.168624429172</v>
      </c>
      <c r="L248" s="203">
        <f t="shared" si="275"/>
        <v>-14366.330303445984</v>
      </c>
      <c r="M248" s="203">
        <f t="shared" si="275"/>
        <v>-13583.650833931786</v>
      </c>
      <c r="N248" s="203">
        <f t="shared" si="275"/>
        <v>-14407.698031545659</v>
      </c>
      <c r="O248" s="203">
        <f t="shared" si="275"/>
        <v>-16759.045913376489</v>
      </c>
      <c r="P248" s="203">
        <f t="shared" si="275"/>
        <v>-16712.530658614305</v>
      </c>
      <c r="Q248" s="203"/>
      <c r="R248" s="203"/>
      <c r="S248" s="203"/>
      <c r="T248" s="203"/>
      <c r="U248" s="203"/>
      <c r="V248" s="203"/>
      <c r="W248" s="203">
        <f>(W245-W247)/W167</f>
        <v>-15768.506265018717</v>
      </c>
      <c r="X248" s="19">
        <f>(X245-X247)/X167</f>
        <v>-16366.134732396567</v>
      </c>
      <c r="Y248" s="217"/>
      <c r="Z248" s="217"/>
      <c r="AR248" s="183"/>
    </row>
    <row r="249" spans="1:70" s="182" customFormat="1" x14ac:dyDescent="0.3">
      <c r="A249" s="144" t="s">
        <v>326</v>
      </c>
      <c r="B249" s="13" t="s">
        <v>3</v>
      </c>
      <c r="C249" s="144">
        <f t="shared" ref="C249:X249" si="276">SUM(C197,C202,C207,C212)</f>
        <v>378184</v>
      </c>
      <c r="D249" s="219">
        <f t="shared" si="276"/>
        <v>376596</v>
      </c>
      <c r="E249" s="219">
        <f t="shared" si="276"/>
        <v>358707</v>
      </c>
      <c r="F249" s="219">
        <f t="shared" si="276"/>
        <v>351834</v>
      </c>
      <c r="G249" s="219">
        <f t="shared" si="276"/>
        <v>355944</v>
      </c>
      <c r="H249" s="219">
        <f t="shared" si="276"/>
        <v>363998</v>
      </c>
      <c r="I249" s="219">
        <f t="shared" si="276"/>
        <v>366916</v>
      </c>
      <c r="J249" s="219">
        <f t="shared" si="276"/>
        <v>362394</v>
      </c>
      <c r="K249" s="219">
        <f t="shared" si="276"/>
        <v>359812</v>
      </c>
      <c r="L249" s="219">
        <f t="shared" si="276"/>
        <v>351886</v>
      </c>
      <c r="M249" s="219">
        <f t="shared" si="276"/>
        <v>351566</v>
      </c>
      <c r="N249" s="219">
        <f t="shared" si="276"/>
        <v>351775</v>
      </c>
      <c r="O249" s="219">
        <f t="shared" si="276"/>
        <v>333125</v>
      </c>
      <c r="P249" s="219">
        <f t="shared" si="276"/>
        <v>322410</v>
      </c>
      <c r="Q249" s="219">
        <f t="shared" si="276"/>
        <v>0</v>
      </c>
      <c r="R249" s="219">
        <f t="shared" si="276"/>
        <v>0</v>
      </c>
      <c r="S249" s="219">
        <f t="shared" si="276"/>
        <v>0</v>
      </c>
      <c r="T249" s="219">
        <f t="shared" si="276"/>
        <v>0</v>
      </c>
      <c r="U249" s="219">
        <f t="shared" si="276"/>
        <v>0</v>
      </c>
      <c r="V249" s="219">
        <f t="shared" si="276"/>
        <v>0</v>
      </c>
      <c r="W249" s="219">
        <f t="shared" si="276"/>
        <v>308918</v>
      </c>
      <c r="X249" s="223">
        <f t="shared" si="276"/>
        <v>308918</v>
      </c>
      <c r="Y249" s="217"/>
      <c r="Z249" s="217"/>
      <c r="AR249" s="183"/>
    </row>
    <row r="250" spans="1:70" s="182" customFormat="1" x14ac:dyDescent="0.3">
      <c r="A250" s="205" t="s">
        <v>115</v>
      </c>
      <c r="B250" s="15" t="s">
        <v>296</v>
      </c>
      <c r="C250" s="205">
        <f t="shared" ref="C250:O250" si="277">SUM(C198,C203,C208,C213)</f>
        <v>85.281952716996869</v>
      </c>
      <c r="D250" s="181">
        <f t="shared" si="277"/>
        <v>83.017832110945065</v>
      </c>
      <c r="E250" s="181">
        <f t="shared" si="277"/>
        <v>83.316534100606958</v>
      </c>
      <c r="F250" s="181">
        <f t="shared" si="277"/>
        <v>82.362184175683666</v>
      </c>
      <c r="G250" s="181">
        <f t="shared" si="277"/>
        <v>83.988871919809284</v>
      </c>
      <c r="H250" s="181">
        <f t="shared" si="277"/>
        <v>84.772229279150551</v>
      </c>
      <c r="I250" s="181">
        <f t="shared" si="277"/>
        <v>84.331748117707036</v>
      </c>
      <c r="J250" s="181">
        <f t="shared" si="277"/>
        <v>84.220536985481232</v>
      </c>
      <c r="K250" s="181">
        <f t="shared" si="277"/>
        <v>86.708807690008669</v>
      </c>
      <c r="L250" s="181">
        <f t="shared" si="277"/>
        <v>85.8</v>
      </c>
      <c r="M250" s="181">
        <f t="shared" si="277"/>
        <v>84.6</v>
      </c>
      <c r="N250" s="181">
        <f t="shared" si="277"/>
        <v>84.47</v>
      </c>
      <c r="O250" s="181">
        <f t="shared" si="277"/>
        <v>84.3</v>
      </c>
      <c r="P250" s="218">
        <f>O250+(1/8)*(W250-O250)</f>
        <v>83.762500000000003</v>
      </c>
      <c r="Q250" s="218">
        <f>O250+(2/8)*(W250-O250)</f>
        <v>83.224999999999994</v>
      </c>
      <c r="R250" s="218">
        <f>O250+(3/8)*(W250-O250)</f>
        <v>82.6875</v>
      </c>
      <c r="S250" s="218">
        <f>O250+(4/8)*(W250-O250)</f>
        <v>82.15</v>
      </c>
      <c r="T250" s="218">
        <f>O250+(5/8)*(W250-O250)</f>
        <v>81.612499999999997</v>
      </c>
      <c r="U250" s="218">
        <f>O250+(6/8)*(W250-O250)</f>
        <v>81.075000000000003</v>
      </c>
      <c r="V250" s="218">
        <f>O250+(7/8)*(W250-O250)</f>
        <v>80.537499999999994</v>
      </c>
      <c r="W250" s="181">
        <f t="shared" ref="W250:X253" si="278">SUM(W198,W203,W208,W213)</f>
        <v>80</v>
      </c>
      <c r="X250" s="206">
        <f t="shared" si="278"/>
        <v>74.899999999999991</v>
      </c>
      <c r="Y250" s="217"/>
      <c r="Z250" s="217"/>
      <c r="AR250" s="183"/>
    </row>
    <row r="251" spans="1:70" s="182" customFormat="1" x14ac:dyDescent="0.3">
      <c r="A251" s="205"/>
      <c r="B251" s="17" t="s">
        <v>297</v>
      </c>
      <c r="C251" s="205">
        <f t="shared" ref="C251:O251" si="279">SUM(C199,C204,C209,C214)</f>
        <v>646273.28968171414</v>
      </c>
      <c r="D251" s="181">
        <f t="shared" si="279"/>
        <v>633776.64331151533</v>
      </c>
      <c r="E251" s="181">
        <f t="shared" si="279"/>
        <v>641142.72546917305</v>
      </c>
      <c r="F251" s="181">
        <f t="shared" si="279"/>
        <v>638932.46815036284</v>
      </c>
      <c r="G251" s="181">
        <f t="shared" si="279"/>
        <v>656874.1116631832</v>
      </c>
      <c r="H251" s="181">
        <f t="shared" si="279"/>
        <v>667810.02104790567</v>
      </c>
      <c r="I251" s="181">
        <f t="shared" si="279"/>
        <v>667645.0890238455</v>
      </c>
      <c r="J251" s="181">
        <f t="shared" si="279"/>
        <v>669408.99925471959</v>
      </c>
      <c r="K251" s="181">
        <f t="shared" si="279"/>
        <v>693190.00801665895</v>
      </c>
      <c r="L251" s="181">
        <f t="shared" si="279"/>
        <v>690083.90879999998</v>
      </c>
      <c r="M251" s="181">
        <f t="shared" si="279"/>
        <v>683453.95920000004</v>
      </c>
      <c r="N251" s="181">
        <f t="shared" si="279"/>
        <v>685381.72429000004</v>
      </c>
      <c r="O251" s="181">
        <f t="shared" si="279"/>
        <v>687583.7612999999</v>
      </c>
      <c r="P251" s="181">
        <f t="shared" ref="P251:V252" si="280">SUM(P199,P204,P209,P214)</f>
        <v>681197.70750000002</v>
      </c>
      <c r="Q251" s="181">
        <f t="shared" si="280"/>
        <v>0</v>
      </c>
      <c r="R251" s="181">
        <f t="shared" si="280"/>
        <v>0</v>
      </c>
      <c r="S251" s="181">
        <f t="shared" si="280"/>
        <v>0</v>
      </c>
      <c r="T251" s="181">
        <f t="shared" si="280"/>
        <v>0</v>
      </c>
      <c r="U251" s="181">
        <f t="shared" si="280"/>
        <v>0</v>
      </c>
      <c r="V251" s="181">
        <f t="shared" si="280"/>
        <v>0</v>
      </c>
      <c r="W251" s="181">
        <f t="shared" si="278"/>
        <v>669424</v>
      </c>
      <c r="X251" s="206">
        <f t="shared" si="278"/>
        <v>626748.22</v>
      </c>
      <c r="Y251" s="217"/>
      <c r="Z251" s="217"/>
      <c r="AR251" s="183"/>
    </row>
    <row r="252" spans="1:70" s="182" customFormat="1" x14ac:dyDescent="0.3">
      <c r="A252" s="205"/>
      <c r="B252" s="210" t="s">
        <v>300</v>
      </c>
      <c r="C252" s="205">
        <f t="shared" ref="C252:O252" si="281">SUM(C200,C205,C210,C215)</f>
        <v>-268089.2896817142</v>
      </c>
      <c r="D252" s="181">
        <f t="shared" si="281"/>
        <v>-257180.6433115153</v>
      </c>
      <c r="E252" s="181">
        <f t="shared" si="281"/>
        <v>-282435.72546917305</v>
      </c>
      <c r="F252" s="181">
        <f t="shared" si="281"/>
        <v>-287098.46815036284</v>
      </c>
      <c r="G252" s="181">
        <f t="shared" si="281"/>
        <v>-300930.1116631832</v>
      </c>
      <c r="H252" s="181">
        <f t="shared" si="281"/>
        <v>-303812.02104790573</v>
      </c>
      <c r="I252" s="181">
        <f t="shared" si="281"/>
        <v>-300729.0890238455</v>
      </c>
      <c r="J252" s="181">
        <f t="shared" si="281"/>
        <v>-307014.99925471959</v>
      </c>
      <c r="K252" s="181">
        <f t="shared" si="281"/>
        <v>-333378.00801665901</v>
      </c>
      <c r="L252" s="181">
        <f t="shared" si="281"/>
        <v>-338197.90879999998</v>
      </c>
      <c r="M252" s="181">
        <f t="shared" si="281"/>
        <v>-331887.95920000004</v>
      </c>
      <c r="N252" s="181">
        <f t="shared" si="281"/>
        <v>-333606.72429000004</v>
      </c>
      <c r="O252" s="181">
        <f t="shared" si="281"/>
        <v>-354458.76130000001</v>
      </c>
      <c r="P252" s="181">
        <f t="shared" si="280"/>
        <v>-358787.70749999996</v>
      </c>
      <c r="Q252" s="181">
        <f t="shared" si="280"/>
        <v>0</v>
      </c>
      <c r="R252" s="181">
        <f t="shared" si="280"/>
        <v>0</v>
      </c>
      <c r="S252" s="181">
        <f t="shared" si="280"/>
        <v>0</v>
      </c>
      <c r="T252" s="181">
        <f t="shared" si="280"/>
        <v>0</v>
      </c>
      <c r="U252" s="181">
        <f t="shared" si="280"/>
        <v>0</v>
      </c>
      <c r="V252" s="181">
        <f t="shared" si="280"/>
        <v>0</v>
      </c>
      <c r="W252" s="181">
        <f t="shared" si="278"/>
        <v>-360506</v>
      </c>
      <c r="X252" s="206">
        <f t="shared" si="278"/>
        <v>-317830.21999999991</v>
      </c>
      <c r="Y252" s="217"/>
      <c r="Z252" s="217"/>
      <c r="AR252" s="183"/>
    </row>
    <row r="253" spans="1:70" s="182" customFormat="1" x14ac:dyDescent="0.3">
      <c r="A253" s="18"/>
      <c r="B253" s="19" t="s">
        <v>298</v>
      </c>
      <c r="C253" s="18">
        <f t="shared" ref="C253:O253" si="282">SUM(C201,C206,C211,C216)</f>
        <v>-251092.43298972835</v>
      </c>
      <c r="D253" s="203">
        <f t="shared" si="282"/>
        <v>-238036.88917171874</v>
      </c>
      <c r="E253" s="203">
        <f t="shared" si="282"/>
        <v>-260832.00217245641</v>
      </c>
      <c r="F253" s="203">
        <f t="shared" si="282"/>
        <v>-263698.82176383329</v>
      </c>
      <c r="G253" s="203">
        <f t="shared" si="282"/>
        <v>-276545.81513328606</v>
      </c>
      <c r="H253" s="203">
        <f t="shared" si="282"/>
        <v>-271474.44381502178</v>
      </c>
      <c r="I253" s="203">
        <f t="shared" si="282"/>
        <v>-265430.70641129755</v>
      </c>
      <c r="J253" s="203">
        <f t="shared" si="282"/>
        <v>-269370.14872667444</v>
      </c>
      <c r="K253" s="203">
        <f t="shared" si="282"/>
        <v>-289360.08057837881</v>
      </c>
      <c r="L253" s="203">
        <f t="shared" si="282"/>
        <v>-292291.26169310196</v>
      </c>
      <c r="M253" s="203">
        <f t="shared" si="282"/>
        <v>-284198.55915531772</v>
      </c>
      <c r="N253" s="203">
        <f t="shared" si="282"/>
        <v>-288574.85588957911</v>
      </c>
      <c r="O253" s="203">
        <f t="shared" si="282"/>
        <v>-303353.51145697862</v>
      </c>
      <c r="P253" s="203">
        <f>SUM(P201,P206,P211,P216)</f>
        <v>-306293.10786982212</v>
      </c>
      <c r="Q253" s="203"/>
      <c r="R253" s="203"/>
      <c r="S253" s="203"/>
      <c r="T253" s="203"/>
      <c r="U253" s="203"/>
      <c r="V253" s="203"/>
      <c r="W253" s="203">
        <f t="shared" si="278"/>
        <v>-308136.79941375559</v>
      </c>
      <c r="X253" s="19">
        <f t="shared" si="278"/>
        <v>-264952.47692308732</v>
      </c>
      <c r="Y253" s="217"/>
      <c r="Z253" s="217"/>
      <c r="AR253" s="183"/>
    </row>
    <row r="254" spans="1:70" s="182" customFormat="1" x14ac:dyDescent="0.3">
      <c r="A254" s="333" t="s">
        <v>90</v>
      </c>
      <c r="B254" s="381" t="s">
        <v>298</v>
      </c>
      <c r="C254" s="334">
        <f t="shared" ref="C254:P254" si="283">C233+C238+C243+C248+C253+C117+C223+C228</f>
        <v>-346886.09285058343</v>
      </c>
      <c r="D254" s="334">
        <f t="shared" si="283"/>
        <v>-330317.07070249581</v>
      </c>
      <c r="E254" s="334">
        <f t="shared" si="283"/>
        <v>-353548.93704500276</v>
      </c>
      <c r="F254" s="334">
        <f t="shared" si="283"/>
        <v>-383239.34921367915</v>
      </c>
      <c r="G254" s="334">
        <f t="shared" si="283"/>
        <v>-374995.62537306262</v>
      </c>
      <c r="H254" s="334">
        <f t="shared" si="283"/>
        <v>-380940.55230873229</v>
      </c>
      <c r="I254" s="334">
        <f t="shared" si="283"/>
        <v>-372265.0008424765</v>
      </c>
      <c r="J254" s="334">
        <f t="shared" si="283"/>
        <v>-375683.51575861679</v>
      </c>
      <c r="K254" s="334">
        <f t="shared" si="283"/>
        <v>-417994.85750685801</v>
      </c>
      <c r="L254" s="334">
        <f t="shared" si="283"/>
        <v>-447422.87076388911</v>
      </c>
      <c r="M254" s="334">
        <f t="shared" si="283"/>
        <v>-468016.40829630097</v>
      </c>
      <c r="N254" s="334">
        <f t="shared" si="283"/>
        <v>-444018.97367901407</v>
      </c>
      <c r="O254" s="334">
        <f t="shared" si="283"/>
        <v>-492750.4027312774</v>
      </c>
      <c r="P254" s="334">
        <f t="shared" si="283"/>
        <v>-474742.17430282646</v>
      </c>
      <c r="Q254" s="334"/>
      <c r="R254" s="334"/>
      <c r="S254" s="334"/>
      <c r="T254" s="334"/>
      <c r="U254" s="334"/>
      <c r="V254" s="334"/>
      <c r="W254" s="334">
        <f>W233+W238+W243+W248+W253+W117+W223+W228</f>
        <v>-518112.76291006443</v>
      </c>
      <c r="X254" s="334">
        <f>X233+X238+X243+X248+X253+X117+X223+X228</f>
        <v>-466585.47323977825</v>
      </c>
      <c r="Y254" s="217"/>
      <c r="Z254" s="217"/>
      <c r="AR254" s="183"/>
    </row>
    <row r="255" spans="1:70" x14ac:dyDescent="0.3">
      <c r="A255" s="181"/>
      <c r="B255" s="181"/>
      <c r="C255" s="181"/>
      <c r="D255" s="181"/>
      <c r="E255" s="181"/>
      <c r="F255" s="181"/>
      <c r="G255" s="181"/>
      <c r="H255" s="181"/>
      <c r="I255" s="181"/>
      <c r="J255" s="181"/>
      <c r="K255" s="181"/>
      <c r="L255" s="181"/>
      <c r="M255" s="181"/>
      <c r="N255" s="181"/>
      <c r="O255" s="181"/>
      <c r="P255" s="181"/>
      <c r="Q255" s="181"/>
      <c r="R255" s="181"/>
      <c r="S255" s="181"/>
      <c r="T255" s="181"/>
      <c r="U255" s="181"/>
      <c r="V255" s="181"/>
      <c r="W255" s="181"/>
      <c r="X255" s="181"/>
      <c r="Z255" s="29"/>
      <c r="AA255" s="29"/>
      <c r="AB255" s="29"/>
      <c r="AC255" s="29"/>
      <c r="AD255" s="29"/>
      <c r="AE255" s="29"/>
      <c r="AF255" s="29"/>
      <c r="AG255" s="29"/>
      <c r="AH255" s="29"/>
    </row>
    <row r="256" spans="1:70" x14ac:dyDescent="0.3">
      <c r="A256" s="511" t="s">
        <v>540</v>
      </c>
      <c r="B256" s="512" t="s">
        <v>541</v>
      </c>
      <c r="C256" s="234">
        <v>1247013</v>
      </c>
      <c r="D256" s="237">
        <v>1244932</v>
      </c>
      <c r="E256" s="237">
        <v>1245088</v>
      </c>
      <c r="F256" s="237">
        <v>1238820</v>
      </c>
      <c r="G256" s="237">
        <v>1242996</v>
      </c>
      <c r="H256" s="237">
        <v>1240268</v>
      </c>
      <c r="I256" s="237">
        <v>1244442</v>
      </c>
      <c r="J256" s="237">
        <v>1235840</v>
      </c>
      <c r="K256" s="237">
        <v>1228753</v>
      </c>
      <c r="L256" s="237">
        <v>1184506</v>
      </c>
      <c r="M256" s="237">
        <v>1064341</v>
      </c>
      <c r="N256" s="237">
        <v>1076349</v>
      </c>
      <c r="O256" s="237">
        <v>1065279</v>
      </c>
      <c r="P256" s="237">
        <v>1062969</v>
      </c>
      <c r="Q256" s="244"/>
      <c r="R256" s="244"/>
      <c r="S256" s="244"/>
      <c r="T256" s="244"/>
      <c r="U256" s="244"/>
      <c r="V256" s="244"/>
      <c r="W256" s="247">
        <f>AVERAGE(N256:P256)</f>
        <v>1068199</v>
      </c>
      <c r="X256" s="438">
        <f>W256</f>
        <v>1068199</v>
      </c>
      <c r="Y256" s="90"/>
      <c r="Z256" s="90"/>
      <c r="AA256" s="157"/>
      <c r="AB256" s="90"/>
      <c r="AC256" s="29"/>
      <c r="AD256" s="29"/>
      <c r="AE256" s="29"/>
      <c r="AF256" s="29"/>
      <c r="AG256" s="157"/>
      <c r="AH256" s="83"/>
      <c r="AS256" s="1"/>
      <c r="AT256" s="1"/>
    </row>
    <row r="257" spans="1:46" x14ac:dyDescent="0.3">
      <c r="A257" s="513" t="s">
        <v>542</v>
      </c>
      <c r="B257" s="514" t="s">
        <v>543</v>
      </c>
      <c r="C257" s="515">
        <f t="shared" ref="C257:P257" si="284">C254/C256</f>
        <v>-0.27817359791003254</v>
      </c>
      <c r="D257" s="516">
        <f t="shared" si="284"/>
        <v>-0.26532940811425509</v>
      </c>
      <c r="E257" s="516">
        <f t="shared" si="284"/>
        <v>-0.28395497912195988</v>
      </c>
      <c r="F257" s="516">
        <f t="shared" si="284"/>
        <v>-0.30935838072817612</v>
      </c>
      <c r="G257" s="516">
        <f t="shared" si="284"/>
        <v>-0.30168691240604362</v>
      </c>
      <c r="H257" s="516">
        <f t="shared" si="284"/>
        <v>-0.30714374015029999</v>
      </c>
      <c r="I257" s="516">
        <f t="shared" si="284"/>
        <v>-0.29914210613469849</v>
      </c>
      <c r="J257" s="516">
        <f t="shared" si="284"/>
        <v>-0.30399041603979221</v>
      </c>
      <c r="K257" s="516">
        <f t="shared" si="284"/>
        <v>-0.34017809723097969</v>
      </c>
      <c r="L257" s="516">
        <f t="shared" si="284"/>
        <v>-0.37772950982425507</v>
      </c>
      <c r="M257" s="516">
        <f t="shared" si="284"/>
        <v>-0.43972411877048895</v>
      </c>
      <c r="N257" s="516">
        <f t="shared" si="284"/>
        <v>-0.41252323705323651</v>
      </c>
      <c r="O257" s="516">
        <f t="shared" si="284"/>
        <v>-0.46255525804158104</v>
      </c>
      <c r="P257" s="516">
        <f t="shared" si="284"/>
        <v>-0.4466190211594378</v>
      </c>
      <c r="Q257" s="516"/>
      <c r="R257" s="516"/>
      <c r="S257" s="516"/>
      <c r="T257" s="516"/>
      <c r="U257" s="516"/>
      <c r="V257" s="516"/>
      <c r="W257" s="516">
        <f>W254/W256</f>
        <v>-0.48503393366785069</v>
      </c>
      <c r="X257" s="517">
        <f>X254/X256</f>
        <v>-0.43679639583989338</v>
      </c>
      <c r="Y257" s="90"/>
      <c r="Z257" s="90"/>
      <c r="AA257" s="157"/>
      <c r="AB257" s="90"/>
      <c r="AC257" s="90"/>
      <c r="AD257" s="90"/>
      <c r="AE257" s="90"/>
      <c r="AF257" s="90"/>
      <c r="AG257" s="157"/>
      <c r="AH257" s="83"/>
      <c r="AS257" s="1"/>
      <c r="AT257" s="1"/>
    </row>
  </sheetData>
  <sheetProtection password="D6AD" sheet="1" objects="1" scenarios="1" selectLockedCells="1" selectUnlockedCells="1"/>
  <mergeCells count="7">
    <mergeCell ref="G38:G44"/>
    <mergeCell ref="G50:G55"/>
    <mergeCell ref="S34:T34"/>
    <mergeCell ref="S35:T35"/>
    <mergeCell ref="S36:T36"/>
    <mergeCell ref="Q50:Q55"/>
    <mergeCell ref="Q38:Q44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"/>
  <sheetViews>
    <sheetView zoomScale="80" zoomScaleNormal="80" workbookViewId="0">
      <selection activeCell="A14" sqref="A14:B15"/>
    </sheetView>
  </sheetViews>
  <sheetFormatPr baseColWidth="10" defaultRowHeight="14.4" x14ac:dyDescent="0.3"/>
  <cols>
    <col min="1" max="1" width="31.6640625" bestFit="1" customWidth="1"/>
    <col min="4" max="4" width="13.21875" bestFit="1" customWidth="1"/>
    <col min="5" max="6" width="17.88671875" bestFit="1" customWidth="1"/>
  </cols>
  <sheetData>
    <row r="1" spans="1:8" x14ac:dyDescent="0.3">
      <c r="A1" s="61" t="s">
        <v>569</v>
      </c>
      <c r="B1" s="61" t="s">
        <v>568</v>
      </c>
      <c r="C1" s="61" t="s">
        <v>570</v>
      </c>
      <c r="D1" s="61" t="s">
        <v>571</v>
      </c>
      <c r="E1" s="61" t="s">
        <v>587</v>
      </c>
      <c r="F1" s="61" t="s">
        <v>588</v>
      </c>
    </row>
    <row r="2" spans="1:8" x14ac:dyDescent="0.3">
      <c r="A2" s="61"/>
      <c r="B2" s="61"/>
      <c r="C2" s="61"/>
      <c r="D2" s="61" t="s">
        <v>572</v>
      </c>
      <c r="G2" t="s">
        <v>592</v>
      </c>
    </row>
    <row r="3" spans="1:8" x14ac:dyDescent="0.3">
      <c r="A3" s="61" t="str">
        <f>'Hypothèses conso'!A2</f>
        <v>céréales</v>
      </c>
      <c r="B3" s="529">
        <f>SUM('Hypothèses conso'!V42:V44)</f>
        <v>116.8</v>
      </c>
      <c r="C3" s="529">
        <f>SUM('Hypothèses conso'!W42:W44)</f>
        <v>122.64</v>
      </c>
      <c r="D3" s="4">
        <v>8</v>
      </c>
      <c r="E3" s="529">
        <f t="shared" ref="E3:E9" si="0">B3*10*D3</f>
        <v>9344</v>
      </c>
      <c r="F3" s="529">
        <f t="shared" ref="F3:F9" si="1">C3*10*D3</f>
        <v>9811.2000000000007</v>
      </c>
      <c r="G3" s="532">
        <f>E3/$E$13</f>
        <v>0.14499959343007837</v>
      </c>
    </row>
    <row r="4" spans="1:8" x14ac:dyDescent="0.3">
      <c r="A4" s="61" t="str">
        <f>'Hypothèses conso'!A3</f>
        <v>huiles végétales et soja</v>
      </c>
      <c r="B4" s="529">
        <f>SUM('Hypothèses conso'!V45:V47)</f>
        <v>13.4</v>
      </c>
      <c r="C4" s="529">
        <f>SUM('Hypothèses conso'!W45:W47)</f>
        <v>13.4</v>
      </c>
      <c r="D4" s="4">
        <v>1.3</v>
      </c>
      <c r="E4" s="529">
        <f t="shared" si="0"/>
        <v>174.20000000000002</v>
      </c>
      <c r="F4" s="529">
        <f t="shared" si="1"/>
        <v>174.20000000000002</v>
      </c>
      <c r="G4" s="532">
        <f t="shared" ref="G4:G13" si="2">E4/$E$13</f>
        <v>2.7032244408732504E-3</v>
      </c>
    </row>
    <row r="5" spans="1:8" x14ac:dyDescent="0.3">
      <c r="A5" s="61" t="str">
        <f>'Hypothèses conso'!A4</f>
        <v>légumes secs</v>
      </c>
      <c r="B5" s="529">
        <f>'Hypothèses conso'!V48</f>
        <v>3</v>
      </c>
      <c r="C5" s="529">
        <f>'Hypothèses conso'!W48</f>
        <v>3.3000000000000003</v>
      </c>
      <c r="D5" s="4">
        <v>9</v>
      </c>
      <c r="E5" s="529">
        <f t="shared" si="0"/>
        <v>270</v>
      </c>
      <c r="F5" s="529">
        <f t="shared" si="1"/>
        <v>297</v>
      </c>
      <c r="G5" s="532">
        <f t="shared" si="2"/>
        <v>4.1898427039941304E-3</v>
      </c>
    </row>
    <row r="6" spans="1:8" x14ac:dyDescent="0.3">
      <c r="A6" s="61" t="str">
        <f>'Hypothèses conso'!A5</f>
        <v>légumes frais hors pomme de terre</v>
      </c>
      <c r="B6" s="529">
        <f>SUM('Hypothèses conso'!V49:V55)-B7</f>
        <v>53.2</v>
      </c>
      <c r="C6" s="529">
        <f>SUM('Hypothèses conso'!W49:W55)-C7</f>
        <v>55.86</v>
      </c>
      <c r="D6" s="4">
        <v>1.83</v>
      </c>
      <c r="E6" s="529">
        <f t="shared" si="0"/>
        <v>973.56000000000006</v>
      </c>
      <c r="F6" s="529">
        <f t="shared" si="1"/>
        <v>1022.2380000000001</v>
      </c>
      <c r="G6" s="532">
        <f t="shared" si="2"/>
        <v>1.5107641714446392E-2</v>
      </c>
    </row>
    <row r="7" spans="1:8" x14ac:dyDescent="0.3">
      <c r="A7" s="61" t="str">
        <f>'Hypothèses conso'!A6</f>
        <v>pomme de terre</v>
      </c>
      <c r="B7" s="529">
        <f>'Hypothèses conso'!V50</f>
        <v>47.5</v>
      </c>
      <c r="C7" s="529">
        <f>'Hypothèses conso'!W50</f>
        <v>47.5</v>
      </c>
      <c r="D7" s="4">
        <v>2.8</v>
      </c>
      <c r="E7" s="529">
        <f t="shared" si="0"/>
        <v>1330</v>
      </c>
      <c r="F7" s="529">
        <f t="shared" si="1"/>
        <v>1330</v>
      </c>
      <c r="G7" s="532">
        <f t="shared" si="2"/>
        <v>2.0638854801156275E-2</v>
      </c>
    </row>
    <row r="8" spans="1:8" x14ac:dyDescent="0.3">
      <c r="A8" s="61" t="str">
        <f>'Hypothèses conso'!A7</f>
        <v>fruits</v>
      </c>
      <c r="B8" s="529">
        <f>SUM('Hypothèses conso'!V56:V59)</f>
        <v>31.8</v>
      </c>
      <c r="C8" s="529">
        <f>SUM('Hypothèses conso'!W56:W59)</f>
        <v>33.39</v>
      </c>
      <c r="D8" s="4">
        <v>1.1000000000000001</v>
      </c>
      <c r="E8" s="529">
        <f t="shared" si="0"/>
        <v>349.8</v>
      </c>
      <c r="F8" s="529">
        <f t="shared" si="1"/>
        <v>367.29</v>
      </c>
      <c r="G8" s="532">
        <f t="shared" si="2"/>
        <v>5.4281739920635074E-3</v>
      </c>
    </row>
    <row r="9" spans="1:8" x14ac:dyDescent="0.3">
      <c r="A9" s="61" t="str">
        <f>'Hypothèses conso'!A8</f>
        <v>viandes rouges</v>
      </c>
      <c r="B9" s="529">
        <f>'Hypothèses conso'!V60+'Hypothèses conso'!V63</f>
        <v>22</v>
      </c>
      <c r="C9" s="529">
        <f>'Hypothèses conso'!W60+'Hypothèses conso'!W63</f>
        <v>19.8</v>
      </c>
      <c r="D9" s="4">
        <v>21</v>
      </c>
      <c r="E9" s="529">
        <f t="shared" si="0"/>
        <v>4620</v>
      </c>
      <c r="F9" s="529">
        <f t="shared" si="1"/>
        <v>4158</v>
      </c>
      <c r="G9" s="532">
        <f t="shared" si="2"/>
        <v>7.1692864046121796E-2</v>
      </c>
    </row>
    <row r="10" spans="1:8" x14ac:dyDescent="0.3">
      <c r="A10" s="61" t="str">
        <f>'Hypothèses conso'!A9</f>
        <v>viandes blanches</v>
      </c>
      <c r="B10" s="529">
        <f>'Hypothèses conso'!V61+'Hypothèses conso'!V62</f>
        <v>58</v>
      </c>
      <c r="C10" s="529">
        <f>'Hypothèses conso'!W61+'Hypothèses conso'!W62</f>
        <v>55.099999999999994</v>
      </c>
      <c r="D10" s="4">
        <v>28</v>
      </c>
      <c r="E10" s="529">
        <f>B10*10*D10</f>
        <v>16240</v>
      </c>
      <c r="F10" s="529">
        <f>C10*10*D10</f>
        <v>15428</v>
      </c>
      <c r="G10" s="532">
        <f t="shared" si="2"/>
        <v>0.2520112796772766</v>
      </c>
    </row>
    <row r="11" spans="1:8" x14ac:dyDescent="0.3">
      <c r="A11" s="61" t="str">
        <f>'Hypothèses conso'!A10</f>
        <v>œufs</v>
      </c>
      <c r="B11" s="529">
        <f>'Hypothèses conso'!V64</f>
        <v>15</v>
      </c>
      <c r="C11" s="529">
        <f>'Hypothèses conso'!W64</f>
        <v>14.7</v>
      </c>
      <c r="D11" s="4">
        <v>12</v>
      </c>
      <c r="E11" s="529">
        <f t="shared" ref="E11:E12" si="3">B11*10*D11</f>
        <v>1800</v>
      </c>
      <c r="F11" s="529">
        <f t="shared" ref="F11:F12" si="4">C11*10*D11</f>
        <v>1764</v>
      </c>
      <c r="G11" s="532">
        <f t="shared" si="2"/>
        <v>2.7932284693294205E-2</v>
      </c>
    </row>
    <row r="12" spans="1:8" x14ac:dyDescent="0.3">
      <c r="A12" s="61" t="str">
        <f>'Hypothèses conso'!A11</f>
        <v>lait et pdts laitiers</v>
      </c>
      <c r="B12" s="529">
        <f>'Hypothèses conso'!V65</f>
        <v>360</v>
      </c>
      <c r="C12" s="529">
        <f>'Hypothèses conso'!W65</f>
        <v>324</v>
      </c>
      <c r="D12" s="4">
        <v>8.15</v>
      </c>
      <c r="E12" s="529">
        <f t="shared" si="3"/>
        <v>29340</v>
      </c>
      <c r="F12" s="529">
        <f t="shared" si="4"/>
        <v>26406</v>
      </c>
      <c r="G12" s="532">
        <f t="shared" si="2"/>
        <v>0.4552962405006955</v>
      </c>
    </row>
    <row r="13" spans="1:8" x14ac:dyDescent="0.3">
      <c r="A13" s="61" t="s">
        <v>589</v>
      </c>
      <c r="B13" s="529"/>
      <c r="C13" s="530"/>
      <c r="D13" s="4"/>
      <c r="E13" s="529">
        <f>SUM(E3:E12)</f>
        <v>64441.56</v>
      </c>
      <c r="F13" s="529">
        <f>SUM(F3:F12)</f>
        <v>60757.928</v>
      </c>
      <c r="G13" s="532">
        <f t="shared" si="2"/>
        <v>1</v>
      </c>
    </row>
    <row r="14" spans="1:8" x14ac:dyDescent="0.3">
      <c r="A14" t="s">
        <v>590</v>
      </c>
      <c r="G14" s="531">
        <f>F13/E13-1</f>
        <v>-5.7162365405182602E-2</v>
      </c>
    </row>
    <row r="15" spans="1:8" x14ac:dyDescent="0.3">
      <c r="E15" t="s">
        <v>593</v>
      </c>
      <c r="G15">
        <f>100*365/1000</f>
        <v>36.5</v>
      </c>
      <c r="H15" t="s">
        <v>591</v>
      </c>
    </row>
    <row r="16" spans="1:8" x14ac:dyDescent="0.3">
      <c r="G16" t="s">
        <v>594</v>
      </c>
    </row>
  </sheetData>
  <sheetProtection password="D6AD" sheet="1" objects="1" scenarios="1" selectLockedCells="1" selectUnlockedCells="1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303"/>
  <sheetViews>
    <sheetView showGridLines="0" topLeftCell="A153" zoomScale="80" zoomScaleNormal="80" workbookViewId="0">
      <selection activeCell="A14" sqref="A14:B15"/>
    </sheetView>
  </sheetViews>
  <sheetFormatPr baseColWidth="10" defaultRowHeight="14.4" x14ac:dyDescent="0.3"/>
  <cols>
    <col min="1" max="1" width="15.77734375" customWidth="1"/>
    <col min="2" max="2" width="29.5546875" bestFit="1" customWidth="1"/>
    <col min="3" max="5" width="9.88671875" hidden="1" customWidth="1"/>
    <col min="6" max="6" width="13.6640625" hidden="1" customWidth="1"/>
    <col min="7" max="7" width="12.6640625" bestFit="1" customWidth="1"/>
    <col min="8" max="8" width="9.88671875" bestFit="1" customWidth="1"/>
    <col min="9" max="9" width="14" customWidth="1"/>
    <col min="10" max="10" width="11.33203125" customWidth="1"/>
    <col min="11" max="11" width="9.88671875" bestFit="1" customWidth="1"/>
    <col min="12" max="12" width="12.88671875" customWidth="1"/>
    <col min="13" max="17" width="9.88671875" bestFit="1" customWidth="1"/>
    <col min="18" max="18" width="5" bestFit="1" customWidth="1"/>
    <col min="19" max="20" width="5" style="1" bestFit="1" customWidth="1"/>
    <col min="21" max="22" width="5" bestFit="1" customWidth="1"/>
    <col min="23" max="23" width="9.88671875" bestFit="1" customWidth="1"/>
    <col min="24" max="24" width="12" bestFit="1" customWidth="1"/>
    <col min="25" max="25" width="13.6640625" bestFit="1" customWidth="1"/>
    <col min="26" max="26" width="10.5546875" bestFit="1" customWidth="1"/>
    <col min="27" max="27" width="9.6640625" bestFit="1" customWidth="1"/>
    <col min="28" max="28" width="86.33203125" bestFit="1" customWidth="1"/>
    <col min="29" max="31" width="9" bestFit="1" customWidth="1"/>
    <col min="32" max="32" width="13.88671875" customWidth="1"/>
    <col min="33" max="33" width="9.77734375" customWidth="1"/>
    <col min="34" max="34" width="12.109375" bestFit="1" customWidth="1"/>
  </cols>
  <sheetData>
    <row r="1" spans="1:9" x14ac:dyDescent="0.3">
      <c r="A1" s="11">
        <v>2030</v>
      </c>
      <c r="B1" s="113" t="s">
        <v>117</v>
      </c>
    </row>
    <row r="2" spans="1:9" x14ac:dyDescent="0.3">
      <c r="A2" s="163" t="s">
        <v>56</v>
      </c>
      <c r="B2" s="256">
        <f>'Hypothèses conso'!B2</f>
        <v>0.05</v>
      </c>
    </row>
    <row r="3" spans="1:9" x14ac:dyDescent="0.3">
      <c r="A3" s="163" t="s">
        <v>114</v>
      </c>
      <c r="B3" s="256">
        <f>'Hypothèses conso'!B3</f>
        <v>0</v>
      </c>
    </row>
    <row r="4" spans="1:9" x14ac:dyDescent="0.3">
      <c r="A4" s="163" t="s">
        <v>113</v>
      </c>
      <c r="B4" s="256">
        <f>'Hypothèses conso'!B4</f>
        <v>0.1</v>
      </c>
    </row>
    <row r="5" spans="1:9" x14ac:dyDescent="0.3">
      <c r="A5" s="163" t="s">
        <v>89</v>
      </c>
      <c r="B5" s="256">
        <f>'Hypothèses conso'!B7</f>
        <v>0.05</v>
      </c>
    </row>
    <row r="6" spans="1:9" x14ac:dyDescent="0.3">
      <c r="A6" s="163" t="s">
        <v>88</v>
      </c>
      <c r="B6" s="256">
        <f>'Hypothèses conso'!B5</f>
        <v>0.05</v>
      </c>
    </row>
    <row r="7" spans="1:9" x14ac:dyDescent="0.3">
      <c r="A7" s="163" t="s">
        <v>284</v>
      </c>
      <c r="B7" s="256">
        <f>'Hypothèses conso'!B8</f>
        <v>-0.1</v>
      </c>
    </row>
    <row r="8" spans="1:9" x14ac:dyDescent="0.3">
      <c r="A8" s="163" t="s">
        <v>285</v>
      </c>
      <c r="B8" s="256">
        <f>'Hypothèses conso'!B9</f>
        <v>-0.05</v>
      </c>
    </row>
    <row r="9" spans="1:9" x14ac:dyDescent="0.3">
      <c r="A9" s="163" t="s">
        <v>19</v>
      </c>
      <c r="B9" s="256">
        <f>'Hypothèses conso'!B10</f>
        <v>-0.02</v>
      </c>
    </row>
    <row r="10" spans="1:9" x14ac:dyDescent="0.3">
      <c r="A10" s="163" t="s">
        <v>116</v>
      </c>
      <c r="B10" s="256">
        <f>'Hypothèses conso'!B11</f>
        <v>-0.1</v>
      </c>
    </row>
    <row r="12" spans="1:9" x14ac:dyDescent="0.3">
      <c r="A12" t="s">
        <v>118</v>
      </c>
      <c r="B12" s="1"/>
      <c r="C12" s="1"/>
    </row>
    <row r="13" spans="1:9" x14ac:dyDescent="0.3">
      <c r="A13" t="s">
        <v>119</v>
      </c>
      <c r="B13" s="1"/>
      <c r="C13" s="1"/>
    </row>
    <row r="14" spans="1:9" x14ac:dyDescent="0.3">
      <c r="A14" t="s">
        <v>120</v>
      </c>
      <c r="B14" s="1"/>
      <c r="C14" s="1"/>
    </row>
    <row r="15" spans="1:9" x14ac:dyDescent="0.3">
      <c r="A15" t="s">
        <v>121</v>
      </c>
      <c r="B15" s="1"/>
      <c r="C15" s="1"/>
    </row>
    <row r="16" spans="1:9" x14ac:dyDescent="0.3">
      <c r="A16" s="164" t="s">
        <v>128</v>
      </c>
      <c r="B16" s="9">
        <v>1990</v>
      </c>
      <c r="C16" s="9">
        <v>1999</v>
      </c>
      <c r="D16" s="9">
        <v>2015</v>
      </c>
      <c r="E16" s="9">
        <v>2019</v>
      </c>
      <c r="F16" s="9">
        <v>2021</v>
      </c>
      <c r="G16" s="9" t="s">
        <v>124</v>
      </c>
      <c r="H16" s="65" t="s">
        <v>125</v>
      </c>
      <c r="I16" s="65" t="s">
        <v>126</v>
      </c>
    </row>
    <row r="17" spans="1:32" x14ac:dyDescent="0.3">
      <c r="A17" s="11" t="s">
        <v>122</v>
      </c>
      <c r="B17" s="79">
        <v>94</v>
      </c>
      <c r="C17" s="79">
        <v>92</v>
      </c>
      <c r="D17" s="79">
        <v>89</v>
      </c>
      <c r="E17" s="79">
        <v>83</v>
      </c>
      <c r="F17" s="79">
        <v>81</v>
      </c>
      <c r="G17" s="79">
        <v>68</v>
      </c>
      <c r="H17" s="79">
        <v>73</v>
      </c>
      <c r="I17" s="79">
        <v>48</v>
      </c>
    </row>
    <row r="18" spans="1:32" x14ac:dyDescent="0.3">
      <c r="A18" s="11" t="s">
        <v>123</v>
      </c>
      <c r="B18" s="79"/>
      <c r="C18" s="79"/>
      <c r="D18" s="79"/>
      <c r="E18" s="79"/>
      <c r="F18" s="79">
        <v>66</v>
      </c>
      <c r="G18" s="79">
        <v>61</v>
      </c>
      <c r="H18" s="62"/>
      <c r="I18" s="62"/>
    </row>
    <row r="19" spans="1:32" x14ac:dyDescent="0.3">
      <c r="A19" s="113" t="s">
        <v>129</v>
      </c>
      <c r="B19" s="79"/>
      <c r="C19" s="79"/>
      <c r="D19" s="62"/>
      <c r="E19" s="62"/>
      <c r="F19" s="62"/>
      <c r="G19" s="82" t="s">
        <v>132</v>
      </c>
      <c r="H19" s="62"/>
      <c r="I19" s="82" t="s">
        <v>130</v>
      </c>
    </row>
    <row r="20" spans="1:32" x14ac:dyDescent="0.3">
      <c r="A20" s="9" t="s">
        <v>131</v>
      </c>
      <c r="B20" s="79"/>
      <c r="C20" s="79"/>
      <c r="D20" s="62"/>
      <c r="E20" s="62"/>
      <c r="F20" s="62"/>
      <c r="G20" s="62">
        <f>-4.5/66</f>
        <v>-6.8181818181818177E-2</v>
      </c>
      <c r="H20" s="62"/>
      <c r="I20" s="62"/>
    </row>
    <row r="21" spans="1:32" x14ac:dyDescent="0.3">
      <c r="A21" s="80" t="s">
        <v>127</v>
      </c>
      <c r="C21" s="1"/>
      <c r="D21" s="1"/>
      <c r="E21" s="1"/>
    </row>
    <row r="23" spans="1:32" x14ac:dyDescent="0.3">
      <c r="A23" s="85" t="s">
        <v>278</v>
      </c>
      <c r="B23" s="179"/>
      <c r="D23" s="75"/>
      <c r="F23" s="75"/>
      <c r="G23" s="29"/>
      <c r="H23" s="157"/>
      <c r="I23" s="85"/>
      <c r="J23" s="158"/>
      <c r="K23" s="158"/>
      <c r="L23" s="158"/>
      <c r="M23" s="158"/>
      <c r="N23" s="158"/>
      <c r="O23" s="90"/>
      <c r="P23" s="158"/>
      <c r="Q23" s="158"/>
      <c r="R23" s="158"/>
      <c r="W23" s="65" t="s">
        <v>48</v>
      </c>
      <c r="X23" s="65" t="s">
        <v>62</v>
      </c>
      <c r="Y23" s="65" t="s">
        <v>301</v>
      </c>
      <c r="Z23" s="65" t="s">
        <v>302</v>
      </c>
      <c r="AA23" s="65" t="s">
        <v>210</v>
      </c>
      <c r="AF23" s="158"/>
    </row>
    <row r="24" spans="1:32" x14ac:dyDescent="0.3">
      <c r="A24" t="s">
        <v>118</v>
      </c>
      <c r="B24" s="85" t="s">
        <v>279</v>
      </c>
      <c r="C24" s="117">
        <v>2010</v>
      </c>
      <c r="D24" s="117">
        <v>2011</v>
      </c>
      <c r="E24" s="117">
        <v>2012</v>
      </c>
      <c r="F24" s="117">
        <v>2013</v>
      </c>
      <c r="G24" s="117">
        <v>2014</v>
      </c>
      <c r="H24" s="117">
        <v>2015</v>
      </c>
      <c r="I24" s="117">
        <v>2016</v>
      </c>
      <c r="J24" s="117">
        <v>2017</v>
      </c>
      <c r="K24" s="117">
        <v>2018</v>
      </c>
      <c r="L24" s="117">
        <v>2019</v>
      </c>
      <c r="M24" s="117">
        <v>2020</v>
      </c>
      <c r="N24" s="117">
        <v>2021</v>
      </c>
      <c r="O24" s="117">
        <v>2022</v>
      </c>
      <c r="P24" s="117">
        <v>2023</v>
      </c>
      <c r="Q24" s="117">
        <v>2024</v>
      </c>
      <c r="R24" s="117">
        <v>2025</v>
      </c>
      <c r="S24" s="117">
        <v>2026</v>
      </c>
      <c r="T24" s="117">
        <v>2027</v>
      </c>
      <c r="U24" s="117">
        <v>2028</v>
      </c>
      <c r="V24" s="119">
        <v>2029</v>
      </c>
      <c r="W24" s="117">
        <v>2030</v>
      </c>
      <c r="X24" s="9">
        <v>2030</v>
      </c>
      <c r="Y24" s="65" t="s">
        <v>229</v>
      </c>
      <c r="Z24" s="65" t="s">
        <v>229</v>
      </c>
      <c r="AA24" s="65" t="s">
        <v>229</v>
      </c>
      <c r="AF24" s="158"/>
    </row>
    <row r="25" spans="1:32" x14ac:dyDescent="0.3">
      <c r="A25" t="s">
        <v>281</v>
      </c>
      <c r="B25" s="9" t="s">
        <v>1</v>
      </c>
      <c r="C25" s="107">
        <f>'Calcul R84'!C3</f>
        <v>92.9</v>
      </c>
      <c r="D25" s="107">
        <f>'Calcul R84'!D3</f>
        <v>92.6</v>
      </c>
      <c r="E25" s="107">
        <f>'Calcul R84'!E3</f>
        <v>91.9</v>
      </c>
      <c r="F25" s="107">
        <f>'Calcul R84'!F3</f>
        <v>91.4</v>
      </c>
      <c r="G25" s="107">
        <f>'Calcul R84'!G3</f>
        <v>93.9</v>
      </c>
      <c r="H25" s="107">
        <f>'Calcul R84'!H3</f>
        <v>90.9</v>
      </c>
      <c r="I25" s="107">
        <f>'Calcul R84'!I3</f>
        <v>90.7</v>
      </c>
      <c r="J25" s="107">
        <f>'Calcul R84'!J3</f>
        <v>91.6</v>
      </c>
      <c r="K25" s="107">
        <f>'Calcul R84'!K3</f>
        <v>90.3</v>
      </c>
      <c r="L25" s="107">
        <f>'Calcul R84'!L3</f>
        <v>89.7</v>
      </c>
      <c r="M25" s="107">
        <f>'Calcul R84'!M3</f>
        <v>89.7</v>
      </c>
      <c r="N25" s="107">
        <f>'Calcul R84'!N3</f>
        <v>92.8</v>
      </c>
      <c r="O25" s="107">
        <f>'Calcul R84'!O3</f>
        <v>92</v>
      </c>
      <c r="P25" s="107"/>
      <c r="Q25" s="107"/>
      <c r="R25" s="107"/>
      <c r="S25" s="107"/>
      <c r="T25" s="107"/>
      <c r="U25" s="107"/>
      <c r="V25" s="107"/>
      <c r="W25" s="107">
        <f>'Calcul R84'!W3</f>
        <v>91</v>
      </c>
      <c r="X25" s="107">
        <f>'Calcul R84'!X3</f>
        <v>95.55</v>
      </c>
      <c r="Y25" s="138">
        <f>W25/AVERAGE(K25:O25)-1</f>
        <v>1.1001100110010764E-3</v>
      </c>
      <c r="Z25" s="138">
        <f>X25/AVERAGE(K25:O25)-1</f>
        <v>5.1155115511551053E-2</v>
      </c>
      <c r="AA25" s="211">
        <f>AVERAGE(K25:O25)</f>
        <v>90.9</v>
      </c>
      <c r="AF25" s="158"/>
    </row>
    <row r="26" spans="1:32" x14ac:dyDescent="0.3">
      <c r="A26" t="s">
        <v>281</v>
      </c>
      <c r="B26" s="9" t="s">
        <v>4</v>
      </c>
      <c r="C26" s="107">
        <f>'Calcul R84'!C4</f>
        <v>15.2</v>
      </c>
      <c r="D26" s="107">
        <f>'Calcul R84'!D4</f>
        <v>15.5</v>
      </c>
      <c r="E26" s="107">
        <f>'Calcul R84'!E4</f>
        <v>15.2</v>
      </c>
      <c r="F26" s="107">
        <f>'Calcul R84'!F4</f>
        <v>16</v>
      </c>
      <c r="G26" s="107">
        <f>'Calcul R84'!G4</f>
        <v>15.8</v>
      </c>
      <c r="H26" s="107">
        <f>'Calcul R84'!H4</f>
        <v>15.8</v>
      </c>
      <c r="I26" s="107">
        <f>'Calcul R84'!I4</f>
        <v>15.6</v>
      </c>
      <c r="J26" s="107">
        <f>'Calcul R84'!J4</f>
        <v>16.3</v>
      </c>
      <c r="K26" s="107">
        <f>'Calcul R84'!K4</f>
        <v>16.399999999999999</v>
      </c>
      <c r="L26" s="107">
        <f>'Calcul R84'!L4</f>
        <v>13.8</v>
      </c>
      <c r="M26" s="107">
        <f>'Calcul R84'!M4</f>
        <v>16.2</v>
      </c>
      <c r="N26" s="107">
        <f>'Calcul R84'!N4</f>
        <v>16.7</v>
      </c>
      <c r="O26" s="107">
        <f>'Calcul R84'!O4</f>
        <v>16.7</v>
      </c>
      <c r="P26" s="107"/>
      <c r="Q26" s="107"/>
      <c r="R26" s="107"/>
      <c r="S26" s="107"/>
      <c r="T26" s="107"/>
      <c r="U26" s="107"/>
      <c r="V26" s="107"/>
      <c r="W26" s="107">
        <f>'Calcul R84'!W4</f>
        <v>16.8</v>
      </c>
      <c r="X26" s="107">
        <f>'Calcul R84'!X4</f>
        <v>17.64</v>
      </c>
      <c r="Y26" s="138">
        <f t="shared" ref="Y26:Y48" si="0">W26/AVERAGE(K26:O26)-1</f>
        <v>5.2631578947368585E-2</v>
      </c>
      <c r="Z26" s="138">
        <f t="shared" ref="Z26:Z48" si="1">X26/AVERAGE(K26:O26)-1</f>
        <v>0.10526315789473695</v>
      </c>
      <c r="AA26" s="211">
        <f t="shared" ref="AA26:AA48" si="2">AVERAGE(K26:O26)</f>
        <v>15.959999999999999</v>
      </c>
      <c r="AF26" s="158"/>
    </row>
    <row r="27" spans="1:32" x14ac:dyDescent="0.3">
      <c r="A27" t="s">
        <v>281</v>
      </c>
      <c r="B27" s="9" t="s">
        <v>84</v>
      </c>
      <c r="C27" s="107">
        <f>'Calcul R84'!C5</f>
        <v>5.4</v>
      </c>
      <c r="D27" s="107">
        <f>'Calcul R84'!D5</f>
        <v>5.6</v>
      </c>
      <c r="E27" s="107">
        <f>'Calcul R84'!E5</f>
        <v>5.6</v>
      </c>
      <c r="F27" s="107">
        <f>'Calcul R84'!F5</f>
        <v>6.1</v>
      </c>
      <c r="G27" s="107">
        <f>'Calcul R84'!G5</f>
        <v>8.6999999999999993</v>
      </c>
      <c r="H27" s="107">
        <f>'Calcul R84'!H5</f>
        <v>6.3</v>
      </c>
      <c r="I27" s="107">
        <f>'Calcul R84'!I5</f>
        <v>7.2</v>
      </c>
      <c r="J27" s="107">
        <f>'Calcul R84'!J5</f>
        <v>7.6</v>
      </c>
      <c r="K27" s="107">
        <f>'Calcul R84'!K5</f>
        <v>13.2</v>
      </c>
      <c r="L27" s="107">
        <f>'Calcul R84'!L5</f>
        <v>15.9</v>
      </c>
      <c r="M27" s="107">
        <f>'Calcul R84'!M5</f>
        <v>14.9</v>
      </c>
      <c r="N27" s="107">
        <f>'Calcul R84'!N5</f>
        <v>6.8</v>
      </c>
      <c r="O27" s="107">
        <f>'Calcul R84'!O5</f>
        <v>8</v>
      </c>
      <c r="P27" s="107"/>
      <c r="Q27" s="107"/>
      <c r="R27" s="107"/>
      <c r="S27" s="107"/>
      <c r="T27" s="107"/>
      <c r="U27" s="107"/>
      <c r="V27" s="107"/>
      <c r="W27" s="107">
        <f>'Calcul R84'!W5</f>
        <v>9</v>
      </c>
      <c r="X27" s="107">
        <f>'Calcul R84'!X5</f>
        <v>9.4500000000000011</v>
      </c>
      <c r="Y27" s="138">
        <f t="shared" si="0"/>
        <v>-0.23469387755102045</v>
      </c>
      <c r="Z27" s="138">
        <f t="shared" si="1"/>
        <v>-0.19642857142857129</v>
      </c>
      <c r="AA27" s="211">
        <f t="shared" si="2"/>
        <v>11.76</v>
      </c>
      <c r="AF27" s="158"/>
    </row>
    <row r="28" spans="1:32" x14ac:dyDescent="0.3">
      <c r="A28" t="s">
        <v>281</v>
      </c>
      <c r="B28" s="9" t="s">
        <v>104</v>
      </c>
      <c r="C28" s="107">
        <f>'Calcul R84'!C6</f>
        <v>3.1</v>
      </c>
      <c r="D28" s="107">
        <f>'Calcul R84'!D6</f>
        <v>2</v>
      </c>
      <c r="E28" s="107">
        <f>'Calcul R84'!E6</f>
        <v>2.7</v>
      </c>
      <c r="F28" s="107">
        <f>'Calcul R84'!F6</f>
        <v>2.2000000000000002</v>
      </c>
      <c r="G28" s="107">
        <f>'Calcul R84'!G6</f>
        <v>1</v>
      </c>
      <c r="H28" s="107">
        <f>'Calcul R84'!H6</f>
        <v>2.5</v>
      </c>
      <c r="I28" s="107">
        <f>'Calcul R84'!I6</f>
        <v>2.5</v>
      </c>
      <c r="J28" s="107">
        <f>'Calcul R84'!J6</f>
        <v>2.5</v>
      </c>
      <c r="K28" s="107">
        <f>'Calcul R84'!K6</f>
        <v>2.5</v>
      </c>
      <c r="L28" s="107">
        <f>'Calcul R84'!L6</f>
        <v>2.5</v>
      </c>
      <c r="M28" s="107">
        <f>'Calcul R84'!M6</f>
        <v>2.5</v>
      </c>
      <c r="N28" s="107">
        <f>'Calcul R84'!N6</f>
        <v>2.5</v>
      </c>
      <c r="O28" s="107">
        <f>'Calcul R84'!O6</f>
        <v>2.5</v>
      </c>
      <c r="P28" s="107"/>
      <c r="Q28" s="107"/>
      <c r="R28" s="107"/>
      <c r="S28" s="107"/>
      <c r="T28" s="107"/>
      <c r="U28" s="107"/>
      <c r="V28" s="107"/>
      <c r="W28" s="107">
        <f>'Calcul R84'!W6</f>
        <v>2.5</v>
      </c>
      <c r="X28" s="107">
        <f>'Calcul R84'!X6</f>
        <v>2.5</v>
      </c>
      <c r="Y28" s="138">
        <f t="shared" si="0"/>
        <v>0</v>
      </c>
      <c r="Z28" s="138">
        <f t="shared" si="1"/>
        <v>0</v>
      </c>
      <c r="AA28" s="211">
        <f t="shared" si="2"/>
        <v>2.5</v>
      </c>
      <c r="AF28" s="158"/>
    </row>
    <row r="29" spans="1:32" x14ac:dyDescent="0.3">
      <c r="A29" t="s">
        <v>281</v>
      </c>
      <c r="B29" s="9" t="s">
        <v>105</v>
      </c>
      <c r="C29" s="107">
        <f>'Calcul R84'!C7</f>
        <v>3.9</v>
      </c>
      <c r="D29" s="107">
        <f>'Calcul R84'!D7</f>
        <v>4.7</v>
      </c>
      <c r="E29" s="107">
        <f>'Calcul R84'!E7</f>
        <v>4.7</v>
      </c>
      <c r="F29" s="107">
        <f>'Calcul R84'!F7</f>
        <v>5.4</v>
      </c>
      <c r="G29" s="107">
        <f>'Calcul R84'!G7</f>
        <v>4.9000000000000004</v>
      </c>
      <c r="H29" s="107">
        <f>'Calcul R84'!H7</f>
        <v>4.9000000000000004</v>
      </c>
      <c r="I29" s="107">
        <f>'Calcul R84'!I7</f>
        <v>4.9000000000000004</v>
      </c>
      <c r="J29" s="107">
        <f>'Calcul R84'!J7</f>
        <v>4.9000000000000004</v>
      </c>
      <c r="K29" s="107">
        <f>'Calcul R84'!K7</f>
        <v>4.9000000000000004</v>
      </c>
      <c r="L29" s="107">
        <f>'Calcul R84'!L7</f>
        <v>4.9000000000000004</v>
      </c>
      <c r="M29" s="107">
        <f>'Calcul R84'!M7</f>
        <v>4.9000000000000004</v>
      </c>
      <c r="N29" s="107">
        <f>'Calcul R84'!N7</f>
        <v>4.9000000000000004</v>
      </c>
      <c r="O29" s="107">
        <f>'Calcul R84'!O7</f>
        <v>4.9000000000000004</v>
      </c>
      <c r="P29" s="107"/>
      <c r="Q29" s="107"/>
      <c r="R29" s="107"/>
      <c r="S29" s="107"/>
      <c r="T29" s="107"/>
      <c r="U29" s="107"/>
      <c r="V29" s="107"/>
      <c r="W29" s="107">
        <f>'Calcul R84'!W7</f>
        <v>4.9000000000000004</v>
      </c>
      <c r="X29" s="107">
        <f>'Calcul R84'!X7</f>
        <v>4.9000000000000004</v>
      </c>
      <c r="Y29" s="138">
        <f t="shared" si="0"/>
        <v>0</v>
      </c>
      <c r="Z29" s="138">
        <f t="shared" si="1"/>
        <v>0</v>
      </c>
      <c r="AA29" s="211">
        <f t="shared" si="2"/>
        <v>4.9000000000000004</v>
      </c>
      <c r="AF29" s="158"/>
    </row>
    <row r="30" spans="1:32" x14ac:dyDescent="0.3">
      <c r="A30" t="s">
        <v>283</v>
      </c>
      <c r="B30" s="9" t="s">
        <v>85</v>
      </c>
      <c r="C30" s="107">
        <f>'Calcul R84'!C8</f>
        <v>5.0753163699225254</v>
      </c>
      <c r="D30" s="107">
        <f>'Calcul R84'!D8</f>
        <v>4.6846583506604969</v>
      </c>
      <c r="E30" s="107">
        <f>'Calcul R84'!E8</f>
        <v>5.9037975782586294</v>
      </c>
      <c r="F30" s="107">
        <f>'Calcul R84'!F8</f>
        <v>5.2303423958654891</v>
      </c>
      <c r="G30" s="107">
        <f>'Calcul R84'!G8</f>
        <v>5.2475364136380929</v>
      </c>
      <c r="H30" s="107">
        <f>'Calcul R84'!H8</f>
        <v>5.7602536847218557</v>
      </c>
      <c r="I30" s="107">
        <f>'Calcul R84'!I8</f>
        <v>7.2875443064326664</v>
      </c>
      <c r="J30" s="107">
        <f>'Calcul R84'!J8</f>
        <v>7.9973607590532616</v>
      </c>
      <c r="K30" s="107">
        <f>'Calcul R84'!K8</f>
        <v>6.0680899934529773</v>
      </c>
      <c r="L30" s="107">
        <f>'Calcul R84'!L8</f>
        <v>5.8490793949027031</v>
      </c>
      <c r="M30" s="107">
        <f>'Calcul R84'!M8</f>
        <v>6.346239735697158</v>
      </c>
      <c r="N30" s="107">
        <f>'Calcul R84'!N8</f>
        <v>5.4529174731169148</v>
      </c>
      <c r="O30" s="107">
        <f>'Calcul R84'!O8</f>
        <v>5.822130790762829</v>
      </c>
      <c r="P30" s="107"/>
      <c r="Q30" s="107"/>
      <c r="R30" s="107"/>
      <c r="S30" s="107"/>
      <c r="T30" s="107"/>
      <c r="U30" s="107"/>
      <c r="V30" s="107"/>
      <c r="W30" s="107">
        <f>'Calcul R84'!W8</f>
        <v>6</v>
      </c>
      <c r="X30" s="107">
        <f>'Calcul R84'!X8</f>
        <v>6</v>
      </c>
      <c r="Y30" s="138">
        <f t="shared" si="0"/>
        <v>1.5625142708230122E-2</v>
      </c>
      <c r="Z30" s="138">
        <f t="shared" si="1"/>
        <v>1.5625142708230122E-2</v>
      </c>
      <c r="AA30" s="211">
        <f t="shared" si="2"/>
        <v>5.9076914775865159</v>
      </c>
      <c r="AF30" s="158"/>
    </row>
    <row r="31" spans="1:32" x14ac:dyDescent="0.3">
      <c r="A31" t="s">
        <v>281</v>
      </c>
      <c r="B31" s="9" t="s">
        <v>113</v>
      </c>
      <c r="C31" s="107">
        <f>'Calcul R84'!C9</f>
        <v>1.7</v>
      </c>
      <c r="D31" s="107">
        <f>'Calcul R84'!D9</f>
        <v>1.7</v>
      </c>
      <c r="E31" s="107">
        <f>'Calcul R84'!E9</f>
        <v>1.7</v>
      </c>
      <c r="F31" s="107">
        <f>'Calcul R84'!F9</f>
        <v>1.7</v>
      </c>
      <c r="G31" s="107">
        <f>'Calcul R84'!G9</f>
        <v>1.8</v>
      </c>
      <c r="H31" s="107">
        <f>'Calcul R84'!H9</f>
        <v>1.3</v>
      </c>
      <c r="I31" s="107">
        <f>'Calcul R84'!I9</f>
        <v>1.6</v>
      </c>
      <c r="J31" s="107">
        <f>'Calcul R84'!J9</f>
        <v>2</v>
      </c>
      <c r="K31" s="107">
        <f>'Calcul R84'!K9</f>
        <v>2.2999999999999998</v>
      </c>
      <c r="L31" s="107">
        <f>'Calcul R84'!L9</f>
        <v>2.5</v>
      </c>
      <c r="M31" s="107">
        <f>'Calcul R84'!M9</f>
        <v>2.5</v>
      </c>
      <c r="N31" s="107">
        <f>'Calcul R84'!N9</f>
        <v>2.1</v>
      </c>
      <c r="O31" s="107">
        <f>'Calcul R84'!O9</f>
        <v>2.6</v>
      </c>
      <c r="P31" s="107"/>
      <c r="Q31" s="107"/>
      <c r="R31" s="107"/>
      <c r="S31" s="107"/>
      <c r="T31" s="107"/>
      <c r="U31" s="107"/>
      <c r="V31" s="107"/>
      <c r="W31" s="107">
        <f>'Calcul R84'!W9</f>
        <v>3</v>
      </c>
      <c r="X31" s="107">
        <f>'Calcul R84'!X9</f>
        <v>3.3000000000000003</v>
      </c>
      <c r="Y31" s="138">
        <f t="shared" si="0"/>
        <v>0.25</v>
      </c>
      <c r="Z31" s="138">
        <f t="shared" si="1"/>
        <v>0.37500000000000022</v>
      </c>
      <c r="AA31" s="211">
        <f t="shared" si="2"/>
        <v>2.4</v>
      </c>
      <c r="AB31" s="80" t="s">
        <v>280</v>
      </c>
      <c r="AC31" s="158"/>
    </row>
    <row r="32" spans="1:32" x14ac:dyDescent="0.3">
      <c r="A32" t="s">
        <v>281</v>
      </c>
      <c r="B32" s="9" t="s">
        <v>106</v>
      </c>
      <c r="C32" s="107">
        <f>'Calcul R84'!C10</f>
        <v>4.3</v>
      </c>
      <c r="D32" s="107">
        <f>'Calcul R84'!D10</f>
        <v>4.0999999999999996</v>
      </c>
      <c r="E32" s="107">
        <f>'Calcul R84'!E10</f>
        <v>3.6</v>
      </c>
      <c r="F32" s="107">
        <f>'Calcul R84'!F10</f>
        <v>3.7</v>
      </c>
      <c r="G32" s="107">
        <f>'Calcul R84'!G10</f>
        <v>3.5</v>
      </c>
      <c r="H32" s="107">
        <f>'Calcul R84'!H10</f>
        <v>3.6</v>
      </c>
      <c r="I32" s="107">
        <f>'Calcul R84'!I10</f>
        <v>3.5</v>
      </c>
      <c r="J32" s="107">
        <f>'Calcul R84'!J10</f>
        <v>3.3</v>
      </c>
      <c r="K32" s="107">
        <f>'Calcul R84'!K10</f>
        <v>3.1</v>
      </c>
      <c r="L32" s="107">
        <f>'Calcul R84'!L10</f>
        <v>2.9</v>
      </c>
      <c r="M32" s="107">
        <f>'Calcul R84'!M10</f>
        <v>3.1</v>
      </c>
      <c r="N32" s="107">
        <f>'Calcul R84'!N10</f>
        <v>3.6</v>
      </c>
      <c r="O32" s="107">
        <f>'Calcul R84'!O10</f>
        <v>3.2</v>
      </c>
      <c r="P32" s="107"/>
      <c r="Q32" s="107"/>
      <c r="R32" s="107"/>
      <c r="S32" s="107"/>
      <c r="T32" s="107"/>
      <c r="U32" s="107"/>
      <c r="V32" s="107"/>
      <c r="W32" s="107">
        <f>'Calcul R84'!W10</f>
        <v>3</v>
      </c>
      <c r="X32" s="107">
        <f>'Calcul R84'!X10</f>
        <v>3.1500000000000004</v>
      </c>
      <c r="Y32" s="138">
        <f t="shared" si="0"/>
        <v>-5.6603773584905537E-2</v>
      </c>
      <c r="Z32" s="138">
        <f t="shared" si="1"/>
        <v>-9.4339622641507193E-3</v>
      </c>
      <c r="AA32" s="211">
        <f t="shared" si="2"/>
        <v>3.1799999999999997</v>
      </c>
      <c r="AC32" s="158"/>
    </row>
    <row r="33" spans="1:29" x14ac:dyDescent="0.3">
      <c r="A33" t="s">
        <v>281</v>
      </c>
      <c r="B33" s="9" t="s">
        <v>107</v>
      </c>
      <c r="C33" s="107">
        <f>'Calcul R84'!C11</f>
        <v>49.3</v>
      </c>
      <c r="D33" s="107">
        <f>'Calcul R84'!D11</f>
        <v>47.3</v>
      </c>
      <c r="E33" s="107">
        <f>'Calcul R84'!E11</f>
        <v>47.6</v>
      </c>
      <c r="F33" s="107">
        <f>'Calcul R84'!F11</f>
        <v>47.6</v>
      </c>
      <c r="G33" s="107">
        <f>'Calcul R84'!G11</f>
        <v>47.6</v>
      </c>
      <c r="H33" s="107">
        <f>'Calcul R84'!H11</f>
        <v>47.6</v>
      </c>
      <c r="I33" s="107">
        <f>'Calcul R84'!I11</f>
        <v>47.6</v>
      </c>
      <c r="J33" s="107">
        <f>'Calcul R84'!J11</f>
        <v>47.6</v>
      </c>
      <c r="K33" s="107">
        <f>'Calcul R84'!K11</f>
        <v>47.6</v>
      </c>
      <c r="L33" s="107">
        <f>'Calcul R84'!L11</f>
        <v>47.6</v>
      </c>
      <c r="M33" s="107">
        <f>'Calcul R84'!M11</f>
        <v>47.6</v>
      </c>
      <c r="N33" s="107">
        <f>'Calcul R84'!N11</f>
        <v>47.6</v>
      </c>
      <c r="O33" s="107">
        <f>'Calcul R84'!O11</f>
        <v>47.5</v>
      </c>
      <c r="P33" s="107"/>
      <c r="Q33" s="107"/>
      <c r="R33" s="107"/>
      <c r="S33" s="107"/>
      <c r="T33" s="107"/>
      <c r="U33" s="107"/>
      <c r="V33" s="107"/>
      <c r="W33" s="107">
        <f>'Calcul R84'!W11</f>
        <v>47.5</v>
      </c>
      <c r="X33" s="107">
        <f>'Calcul R84'!X11</f>
        <v>47.5</v>
      </c>
      <c r="Y33" s="138">
        <f t="shared" si="0"/>
        <v>-1.6813787305590688E-3</v>
      </c>
      <c r="Z33" s="138">
        <f t="shared" si="1"/>
        <v>-1.6813787305590688E-3</v>
      </c>
      <c r="AA33" s="211">
        <f t="shared" si="2"/>
        <v>47.58</v>
      </c>
      <c r="AC33" s="158"/>
    </row>
    <row r="34" spans="1:29" x14ac:dyDescent="0.3">
      <c r="A34" t="s">
        <v>282</v>
      </c>
      <c r="B34" s="9" t="s">
        <v>23</v>
      </c>
      <c r="C34" s="107">
        <f>'Calcul R84'!C12</f>
        <v>4.0122848261461934</v>
      </c>
      <c r="D34" s="107">
        <f>'Calcul R84'!D12</f>
        <v>4.1635701241775385</v>
      </c>
      <c r="E34" s="107">
        <f>'Calcul R84'!E12</f>
        <v>4.1245837479949614</v>
      </c>
      <c r="F34" s="107">
        <f>'Calcul R84'!F12</f>
        <v>4.0303297449608406</v>
      </c>
      <c r="G34" s="107">
        <f>'Calcul R84'!G12</f>
        <v>4.2169437919603805</v>
      </c>
      <c r="H34" s="107">
        <f>'Calcul R84'!H12</f>
        <v>4.0368924682936784</v>
      </c>
      <c r="I34" s="107">
        <f>'Calcul R84'!I12</f>
        <v>4.5965340873767264</v>
      </c>
      <c r="J34" s="107">
        <f>'Calcul R84'!J12</f>
        <v>4.2927865384580572</v>
      </c>
      <c r="K34" s="107">
        <f>'Calcul R84'!K12</f>
        <v>4.3623594872725153</v>
      </c>
      <c r="L34" s="107">
        <f>'Calcul R84'!L12</f>
        <v>4.6004803187771168</v>
      </c>
      <c r="M34" s="107">
        <f>'Calcul R84'!M12</f>
        <v>4.9650574603740072</v>
      </c>
      <c r="N34" s="107">
        <f>'Calcul R84'!N12</f>
        <v>4.678681069245588</v>
      </c>
      <c r="O34" s="107">
        <f>'Calcul R84'!O12</f>
        <v>3.94439710603924</v>
      </c>
      <c r="P34" s="107"/>
      <c r="Q34" s="107"/>
      <c r="R34" s="107"/>
      <c r="S34" s="107"/>
      <c r="T34" s="107"/>
      <c r="U34" s="107"/>
      <c r="V34" s="107"/>
      <c r="W34" s="107">
        <f>'Calcul R84'!W12</f>
        <v>4.3</v>
      </c>
      <c r="X34" s="107">
        <f>'Calcul R84'!X12</f>
        <v>4.5149999999999997</v>
      </c>
      <c r="Y34" s="138">
        <f t="shared" si="0"/>
        <v>-4.6604433782703181E-2</v>
      </c>
      <c r="Z34" s="138">
        <f t="shared" si="1"/>
        <v>1.0653445281616492E-3</v>
      </c>
      <c r="AA34" s="211">
        <f t="shared" si="2"/>
        <v>4.5101950883416935</v>
      </c>
      <c r="AC34" s="158"/>
    </row>
    <row r="35" spans="1:29" x14ac:dyDescent="0.3">
      <c r="A35" t="s">
        <v>282</v>
      </c>
      <c r="B35" s="9" t="s">
        <v>21</v>
      </c>
      <c r="C35" s="107">
        <f>'Calcul R84'!C13</f>
        <v>7.1550309657886242</v>
      </c>
      <c r="D35" s="107">
        <f>'Calcul R84'!D13</f>
        <v>6.918433804642004</v>
      </c>
      <c r="E35" s="107">
        <f>'Calcul R84'!E13</f>
        <v>7.7285127513075897</v>
      </c>
      <c r="F35" s="107">
        <f>'Calcul R84'!F13</f>
        <v>7.2365408165564098</v>
      </c>
      <c r="G35" s="107">
        <f>'Calcul R84'!G13</f>
        <v>6.9261540403959154</v>
      </c>
      <c r="H35" s="107">
        <f>'Calcul R84'!H13</f>
        <v>7.1186758253055578</v>
      </c>
      <c r="I35" s="107">
        <f>'Calcul R84'!I13</f>
        <v>6.9837511458257202</v>
      </c>
      <c r="J35" s="107">
        <f>'Calcul R84'!J13</f>
        <v>6.418347226284733</v>
      </c>
      <c r="K35" s="107">
        <f>'Calcul R84'!K13</f>
        <v>6.3184437452591053</v>
      </c>
      <c r="L35" s="107">
        <f>'Calcul R84'!L13</f>
        <v>6.2239096109963556</v>
      </c>
      <c r="M35" s="107">
        <f>'Calcul R84'!M13</f>
        <v>6.0345228314128292</v>
      </c>
      <c r="N35" s="107">
        <f>'Calcul R84'!N13</f>
        <v>5.92703057083411</v>
      </c>
      <c r="O35" s="107">
        <f>'Calcul R84'!O13</f>
        <v>6.3541321604384393</v>
      </c>
      <c r="P35" s="107"/>
      <c r="Q35" s="107"/>
      <c r="R35" s="107"/>
      <c r="S35" s="107"/>
      <c r="T35" s="107"/>
      <c r="U35" s="107"/>
      <c r="V35" s="107"/>
      <c r="W35" s="107">
        <f>'Calcul R84'!W13</f>
        <v>6</v>
      </c>
      <c r="X35" s="107">
        <f>'Calcul R84'!X13</f>
        <v>6.3000000000000007</v>
      </c>
      <c r="Y35" s="138">
        <f t="shared" si="0"/>
        <v>-2.7806009357716155E-2</v>
      </c>
      <c r="Z35" s="138">
        <f t="shared" si="1"/>
        <v>2.0803690174398204E-2</v>
      </c>
      <c r="AA35" s="211">
        <f t="shared" si="2"/>
        <v>6.1716077837881675</v>
      </c>
      <c r="AC35" s="158"/>
    </row>
    <row r="36" spans="1:29" x14ac:dyDescent="0.3">
      <c r="A36" t="s">
        <v>281</v>
      </c>
      <c r="B36" s="9" t="s">
        <v>12</v>
      </c>
      <c r="C36" s="107">
        <f>'Calcul R84'!C14</f>
        <v>26.3</v>
      </c>
      <c r="D36" s="107">
        <f>'Calcul R84'!D14</f>
        <v>28.4</v>
      </c>
      <c r="E36" s="107">
        <f>'Calcul R84'!E14</f>
        <v>26.6</v>
      </c>
      <c r="F36" s="107">
        <f>'Calcul R84'!F14</f>
        <v>26.8</v>
      </c>
      <c r="G36" s="107">
        <f>'Calcul R84'!G14</f>
        <v>26.6</v>
      </c>
      <c r="H36" s="107">
        <f>'Calcul R84'!H14</f>
        <v>26.5</v>
      </c>
      <c r="I36" s="107">
        <f>'Calcul R84'!I14</f>
        <v>27.9</v>
      </c>
      <c r="J36" s="107">
        <f>'Calcul R84'!J14</f>
        <v>27.2</v>
      </c>
      <c r="K36" s="107">
        <f>'Calcul R84'!K14</f>
        <v>25.7</v>
      </c>
      <c r="L36" s="107">
        <f>'Calcul R84'!L14</f>
        <v>25</v>
      </c>
      <c r="M36" s="107">
        <f>'Calcul R84'!M14</f>
        <v>27</v>
      </c>
      <c r="N36" s="107">
        <f>'Calcul R84'!N14</f>
        <v>26.9</v>
      </c>
      <c r="O36" s="107">
        <f>'Calcul R84'!O14</f>
        <v>26.8</v>
      </c>
      <c r="P36" s="107"/>
      <c r="Q36" s="107"/>
      <c r="R36" s="107"/>
      <c r="S36" s="107"/>
      <c r="T36" s="107"/>
      <c r="U36" s="107"/>
      <c r="V36" s="107"/>
      <c r="W36" s="107">
        <f>'Calcul R84'!W14</f>
        <v>26</v>
      </c>
      <c r="X36" s="107">
        <f>'Calcul R84'!X14</f>
        <v>27.3</v>
      </c>
      <c r="Y36" s="138">
        <f t="shared" si="0"/>
        <v>-1.0654490106544956E-2</v>
      </c>
      <c r="Z36" s="138">
        <f t="shared" si="1"/>
        <v>3.8812785388127935E-2</v>
      </c>
      <c r="AA36" s="211">
        <f t="shared" si="2"/>
        <v>26.28</v>
      </c>
      <c r="AC36" s="158"/>
    </row>
    <row r="37" spans="1:29" x14ac:dyDescent="0.3">
      <c r="A37" t="s">
        <v>282</v>
      </c>
      <c r="B37" s="9" t="s">
        <v>20</v>
      </c>
      <c r="C37" s="107">
        <f>'Calcul R84'!C15</f>
        <v>2.961843447252289</v>
      </c>
      <c r="D37" s="107">
        <f>'Calcul R84'!D15</f>
        <v>2.7464889045158847</v>
      </c>
      <c r="E37" s="107">
        <f>'Calcul R84'!E15</f>
        <v>2.6065872821104388</v>
      </c>
      <c r="F37" s="107">
        <f>'Calcul R84'!F15</f>
        <v>2.8657318420326963</v>
      </c>
      <c r="G37" s="107">
        <f>'Calcul R84'!G15</f>
        <v>2.8227356555709617</v>
      </c>
      <c r="H37" s="107">
        <f>'Calcul R84'!H15</f>
        <v>2.6308870924058652</v>
      </c>
      <c r="I37" s="107">
        <f>'Calcul R84'!I15</f>
        <v>2.5936580291437754</v>
      </c>
      <c r="J37" s="107">
        <f>'Calcul R84'!J15</f>
        <v>2.7068107488384783</v>
      </c>
      <c r="K37" s="107">
        <f>'Calcul R84'!K15</f>
        <v>2.6412683096828165</v>
      </c>
      <c r="L37" s="107">
        <f>'Calcul R84'!L15</f>
        <v>2.5767423660726134</v>
      </c>
      <c r="M37" s="107">
        <f>'Calcul R84'!M15</f>
        <v>2.7287667923503345</v>
      </c>
      <c r="N37" s="107">
        <f>'Calcul R84'!N15</f>
        <v>2.9686950258447369</v>
      </c>
      <c r="O37" s="107">
        <f>'Calcul R84'!O15</f>
        <v>2.439670312898008</v>
      </c>
      <c r="P37" s="107"/>
      <c r="Q37" s="107"/>
      <c r="R37" s="107"/>
      <c r="S37" s="107"/>
      <c r="T37" s="107"/>
      <c r="U37" s="107"/>
      <c r="V37" s="107"/>
      <c r="W37" s="107">
        <f>'Calcul R84'!W15</f>
        <v>2.5</v>
      </c>
      <c r="X37" s="107">
        <f>'Calcul R84'!X15</f>
        <v>2.625</v>
      </c>
      <c r="Y37" s="138">
        <f t="shared" si="0"/>
        <v>-6.4030974375653305E-2</v>
      </c>
      <c r="Z37" s="138">
        <f t="shared" si="1"/>
        <v>-1.7232523094436014E-2</v>
      </c>
      <c r="AA37" s="211">
        <f t="shared" si="2"/>
        <v>2.6710285613697016</v>
      </c>
      <c r="AC37" s="158"/>
    </row>
    <row r="38" spans="1:29" x14ac:dyDescent="0.3">
      <c r="A38" t="s">
        <v>282</v>
      </c>
      <c r="B38" s="9" t="s">
        <v>135</v>
      </c>
      <c r="C38" s="107">
        <f>'Calcul R84'!C16</f>
        <v>10.524295814394705</v>
      </c>
      <c r="D38" s="107">
        <f>'Calcul R84'!D16</f>
        <v>10.038470695514201</v>
      </c>
      <c r="E38" s="107">
        <f>'Calcul R84'!E16</f>
        <v>9.2499253384220346</v>
      </c>
      <c r="F38" s="107">
        <f>'Calcul R84'!F16</f>
        <v>9.4780696338880421</v>
      </c>
      <c r="G38" s="107">
        <f>'Calcul R84'!G16</f>
        <v>9.6024770928974501</v>
      </c>
      <c r="H38" s="107">
        <f>'Calcul R84'!H16</f>
        <v>9.5050948105312685</v>
      </c>
      <c r="I38" s="107">
        <f>'Calcul R84'!I16</f>
        <v>9.4341026275162729</v>
      </c>
      <c r="J38" s="107">
        <f>'Calcul R84'!J16</f>
        <v>10.443820463990443</v>
      </c>
      <c r="K38" s="107">
        <f>'Calcul R84'!K16</f>
        <v>10.186572745308871</v>
      </c>
      <c r="L38" s="107">
        <f>'Calcul R84'!L16</f>
        <v>10.623501308083377</v>
      </c>
      <c r="M38" s="107">
        <f>'Calcul R84'!M16</f>
        <v>11.231241023899283</v>
      </c>
      <c r="N38" s="107">
        <f>'Calcul R84'!N16</f>
        <v>12.18154958140507</v>
      </c>
      <c r="O38" s="107">
        <f>'Calcul R84'!O16</f>
        <v>10.520391618425846</v>
      </c>
      <c r="P38" s="107"/>
      <c r="Q38" s="107"/>
      <c r="R38" s="107"/>
      <c r="S38" s="107"/>
      <c r="T38" s="107"/>
      <c r="U38" s="107"/>
      <c r="V38" s="107"/>
      <c r="W38" s="107">
        <f>'Calcul R84'!W16</f>
        <v>11.4</v>
      </c>
      <c r="X38" s="107">
        <f>'Calcul R84'!X16</f>
        <v>11.97</v>
      </c>
      <c r="Y38" s="138">
        <f t="shared" si="0"/>
        <v>4.1224141133538339E-2</v>
      </c>
      <c r="Z38" s="138">
        <f t="shared" si="1"/>
        <v>9.3285348190215167E-2</v>
      </c>
      <c r="AA38" s="211">
        <f t="shared" si="2"/>
        <v>10.94865125542449</v>
      </c>
      <c r="AC38" s="158"/>
    </row>
    <row r="39" spans="1:29" x14ac:dyDescent="0.3">
      <c r="A39" t="s">
        <v>282</v>
      </c>
      <c r="B39" s="9" t="s">
        <v>24</v>
      </c>
      <c r="C39" s="107">
        <f>'Calcul R84'!C17</f>
        <v>1.6987397561723463</v>
      </c>
      <c r="D39" s="107">
        <f>'Calcul R84'!D17</f>
        <v>1.7577706568399245</v>
      </c>
      <c r="E39" s="107">
        <f>'Calcul R84'!E17</f>
        <v>2.0688629764741591</v>
      </c>
      <c r="F39" s="107">
        <f>'Calcul R84'!F17</f>
        <v>1.5985936106335745</v>
      </c>
      <c r="G39" s="107">
        <f>'Calcul R84'!G17</f>
        <v>1.9423327540759616</v>
      </c>
      <c r="H39" s="107">
        <f>'Calcul R84'!H17</f>
        <v>1.9116583285927249</v>
      </c>
      <c r="I39" s="107">
        <f>'Calcul R84'!I17</f>
        <v>1.3676120998203285</v>
      </c>
      <c r="J39" s="107">
        <f>'Calcul R84'!J17</f>
        <v>1.8402010435381304</v>
      </c>
      <c r="K39" s="107">
        <f>'Calcul R84'!K17</f>
        <v>1.6299787133857813</v>
      </c>
      <c r="L39" s="107">
        <f>'Calcul R84'!L17</f>
        <v>2.0311085183215241</v>
      </c>
      <c r="M39" s="107">
        <f>'Calcul R84'!M17</f>
        <v>1.4645570555426535</v>
      </c>
      <c r="N39" s="107">
        <f>'Calcul R84'!N17</f>
        <v>0.90570196298728167</v>
      </c>
      <c r="O39" s="107">
        <f>'Calcul R84'!O17</f>
        <v>1.9072307951980221</v>
      </c>
      <c r="P39" s="107"/>
      <c r="Q39" s="107"/>
      <c r="R39" s="107"/>
      <c r="S39" s="107"/>
      <c r="T39" s="107"/>
      <c r="U39" s="107"/>
      <c r="V39" s="107"/>
      <c r="W39" s="107">
        <f>'Calcul R84'!W17</f>
        <v>1.6</v>
      </c>
      <c r="X39" s="107">
        <f>'Calcul R84'!X17</f>
        <v>1.6800000000000002</v>
      </c>
      <c r="Y39" s="138">
        <f t="shared" si="0"/>
        <v>7.7372751077671165E-3</v>
      </c>
      <c r="Z39" s="138">
        <f t="shared" si="1"/>
        <v>5.8124138863155483E-2</v>
      </c>
      <c r="AA39" s="211">
        <f t="shared" si="2"/>
        <v>1.5877154090870524</v>
      </c>
      <c r="AC39" s="158"/>
    </row>
    <row r="40" spans="1:29" x14ac:dyDescent="0.3">
      <c r="A40" t="s">
        <v>281</v>
      </c>
      <c r="B40" s="9" t="s">
        <v>8</v>
      </c>
      <c r="C40" s="107">
        <f>'Calcul R84'!C18</f>
        <v>6.1</v>
      </c>
      <c r="D40" s="107">
        <f>'Calcul R84'!D18</f>
        <v>5.6</v>
      </c>
      <c r="E40" s="107">
        <f>'Calcul R84'!E18</f>
        <v>5.3</v>
      </c>
      <c r="F40" s="107">
        <f>'Calcul R84'!F18</f>
        <v>5.0999999999999996</v>
      </c>
      <c r="G40" s="107">
        <f>'Calcul R84'!G18</f>
        <v>5</v>
      </c>
      <c r="H40" s="107">
        <f>'Calcul R84'!H18</f>
        <v>5.0999999999999996</v>
      </c>
      <c r="I40" s="107">
        <f>'Calcul R84'!I18</f>
        <v>5</v>
      </c>
      <c r="J40" s="107">
        <f>'Calcul R84'!J18</f>
        <v>5.2</v>
      </c>
      <c r="K40" s="107">
        <f>'Calcul R84'!K18</f>
        <v>4.7</v>
      </c>
      <c r="L40" s="107">
        <f>'Calcul R84'!L18</f>
        <v>4.9000000000000004</v>
      </c>
      <c r="M40" s="107">
        <f>'Calcul R84'!M18</f>
        <v>4.2</v>
      </c>
      <c r="N40" s="107">
        <f>'Calcul R84'!N18</f>
        <v>4.2</v>
      </c>
      <c r="O40" s="107">
        <f>'Calcul R84'!O18</f>
        <v>4.0999999999999996</v>
      </c>
      <c r="P40" s="107"/>
      <c r="Q40" s="107"/>
      <c r="R40" s="107"/>
      <c r="S40" s="107"/>
      <c r="T40" s="107"/>
      <c r="U40" s="107"/>
      <c r="V40" s="107"/>
      <c r="W40" s="107">
        <f>'Calcul R84'!W18</f>
        <v>4.2</v>
      </c>
      <c r="X40" s="107">
        <f>'Calcul R84'!X18</f>
        <v>4.41</v>
      </c>
      <c r="Y40" s="138">
        <f t="shared" si="0"/>
        <v>-4.9773755656108531E-2</v>
      </c>
      <c r="Z40" s="138">
        <f t="shared" si="1"/>
        <v>-2.2624434389140191E-3</v>
      </c>
      <c r="AA40" s="211">
        <f t="shared" si="2"/>
        <v>4.42</v>
      </c>
      <c r="AB40" t="s">
        <v>286</v>
      </c>
      <c r="AC40" s="158"/>
    </row>
    <row r="41" spans="1:29" x14ac:dyDescent="0.3">
      <c r="A41" t="s">
        <v>281</v>
      </c>
      <c r="B41" s="9" t="s">
        <v>7</v>
      </c>
      <c r="C41" s="107">
        <f>'Calcul R84'!C19</f>
        <v>22</v>
      </c>
      <c r="D41" s="107">
        <f>'Calcul R84'!D19</f>
        <v>22.1</v>
      </c>
      <c r="E41" s="107">
        <f>'Calcul R84'!E19</f>
        <v>21.6</v>
      </c>
      <c r="F41" s="107">
        <f>'Calcul R84'!F19</f>
        <v>21.7</v>
      </c>
      <c r="G41" s="107">
        <f>'Calcul R84'!G19</f>
        <v>21.1</v>
      </c>
      <c r="H41" s="107">
        <f>'Calcul R84'!H19</f>
        <v>23.1</v>
      </c>
      <c r="I41" s="107">
        <f>'Calcul R84'!I19</f>
        <v>25.7</v>
      </c>
      <c r="J41" s="107">
        <f>'Calcul R84'!J19</f>
        <v>23.8</v>
      </c>
      <c r="K41" s="107">
        <f>'Calcul R84'!K19</f>
        <v>24.5</v>
      </c>
      <c r="L41" s="107">
        <f>'Calcul R84'!L19</f>
        <v>23.1</v>
      </c>
      <c r="M41" s="107">
        <f>'Calcul R84'!M19</f>
        <v>23.7</v>
      </c>
      <c r="N41" s="107">
        <f>'Calcul R84'!N19</f>
        <v>21.4</v>
      </c>
      <c r="O41" s="107">
        <f>'Calcul R84'!O19</f>
        <v>22.5</v>
      </c>
      <c r="P41" s="107"/>
      <c r="Q41" s="107"/>
      <c r="R41" s="107"/>
      <c r="S41" s="107"/>
      <c r="T41" s="107"/>
      <c r="U41" s="107"/>
      <c r="V41" s="107"/>
      <c r="W41" s="107">
        <f>'Calcul R84'!W19</f>
        <v>23</v>
      </c>
      <c r="X41" s="107">
        <f>'Calcul R84'!X19</f>
        <v>24.150000000000002</v>
      </c>
      <c r="Y41" s="138">
        <f t="shared" si="0"/>
        <v>-1.7361111111110494E-3</v>
      </c>
      <c r="Z41" s="138">
        <f t="shared" si="1"/>
        <v>4.8177083333333481E-2</v>
      </c>
      <c r="AA41" s="211">
        <f t="shared" si="2"/>
        <v>23.04</v>
      </c>
      <c r="AC41" s="158"/>
    </row>
    <row r="42" spans="1:29" x14ac:dyDescent="0.3">
      <c r="A42" t="s">
        <v>281</v>
      </c>
      <c r="B42" s="9" t="s">
        <v>9</v>
      </c>
      <c r="C42" s="107">
        <f>'Calcul R84'!C20</f>
        <v>4.9000000000000004</v>
      </c>
      <c r="D42" s="107">
        <f>'Calcul R84'!D20</f>
        <v>4.2</v>
      </c>
      <c r="E42" s="107">
        <f>'Calcul R84'!E20</f>
        <v>3.6</v>
      </c>
      <c r="F42" s="107">
        <f>'Calcul R84'!F20</f>
        <v>3.6</v>
      </c>
      <c r="G42" s="107">
        <f>'Calcul R84'!G20</f>
        <v>3.6</v>
      </c>
      <c r="H42" s="107">
        <f>'Calcul R84'!H20</f>
        <v>3.4</v>
      </c>
      <c r="I42" s="107">
        <f>'Calcul R84'!I20</f>
        <v>3.3</v>
      </c>
      <c r="J42" s="107">
        <f>'Calcul R84'!J20</f>
        <v>2.9</v>
      </c>
      <c r="K42" s="107">
        <f>'Calcul R84'!K20</f>
        <v>2.7</v>
      </c>
      <c r="L42" s="107">
        <f>'Calcul R84'!L20</f>
        <v>2.6</v>
      </c>
      <c r="M42" s="107">
        <f>'Calcul R84'!M20</f>
        <v>2.7</v>
      </c>
      <c r="N42" s="107">
        <f>'Calcul R84'!N20</f>
        <v>2.7</v>
      </c>
      <c r="O42" s="107">
        <f>'Calcul R84'!O20</f>
        <v>2.7</v>
      </c>
      <c r="P42" s="107"/>
      <c r="Q42" s="107"/>
      <c r="R42" s="107"/>
      <c r="S42" s="107"/>
      <c r="T42" s="107"/>
      <c r="U42" s="107"/>
      <c r="V42" s="107"/>
      <c r="W42" s="107">
        <f>'Calcul R84'!W20</f>
        <v>3</v>
      </c>
      <c r="X42" s="107">
        <f>'Calcul R84'!X20</f>
        <v>3.1500000000000004</v>
      </c>
      <c r="Y42" s="138">
        <f t="shared" si="0"/>
        <v>0.11940298507462699</v>
      </c>
      <c r="Z42" s="138">
        <f t="shared" si="1"/>
        <v>0.17537313432835844</v>
      </c>
      <c r="AA42" s="211">
        <f t="shared" si="2"/>
        <v>2.6799999999999997</v>
      </c>
      <c r="AC42" s="158"/>
    </row>
    <row r="43" spans="1:29" x14ac:dyDescent="0.3">
      <c r="A43" t="s">
        <v>281</v>
      </c>
      <c r="B43" s="9" t="s">
        <v>108</v>
      </c>
      <c r="C43" s="107">
        <f>'Calcul R84'!C21</f>
        <v>25.347511774425175</v>
      </c>
      <c r="D43" s="107">
        <f>'Calcul R84'!D21</f>
        <v>24.848940821218921</v>
      </c>
      <c r="E43" s="107">
        <f>'Calcul R84'!E21</f>
        <v>24.379226851426996</v>
      </c>
      <c r="F43" s="107">
        <f>'Calcul R84'!F21</f>
        <v>23.555226102969154</v>
      </c>
      <c r="G43" s="107">
        <f>'Calcul R84'!G21</f>
        <v>23.891552967691318</v>
      </c>
      <c r="H43" s="107">
        <f>'Calcul R84'!H21</f>
        <v>23.504527680437956</v>
      </c>
      <c r="I43" s="107">
        <f>'Calcul R84'!I21</f>
        <v>23.291689759126498</v>
      </c>
      <c r="J43" s="107">
        <f>'Calcul R84'!J21</f>
        <v>22.882608381978745</v>
      </c>
      <c r="K43" s="107">
        <f>'Calcul R84'!K21</f>
        <v>23.3</v>
      </c>
      <c r="L43" s="107">
        <f>'Calcul R84'!L21</f>
        <v>23</v>
      </c>
      <c r="M43" s="107">
        <f>'Calcul R84'!M21</f>
        <v>22.2</v>
      </c>
      <c r="N43" s="107">
        <f>'Calcul R84'!N21</f>
        <v>22.2</v>
      </c>
      <c r="O43" s="107">
        <f>'Calcul R84'!O21</f>
        <v>22.1</v>
      </c>
      <c r="P43" s="107">
        <f>'Calcul R84'!P21</f>
        <v>21.3</v>
      </c>
      <c r="Q43" s="107"/>
      <c r="R43" s="107"/>
      <c r="S43" s="107"/>
      <c r="T43" s="107"/>
      <c r="U43" s="107"/>
      <c r="V43" s="107"/>
      <c r="W43" s="107">
        <f>'Calcul R84'!W21</f>
        <v>20</v>
      </c>
      <c r="X43" s="107">
        <f>'Calcul R84'!X21</f>
        <v>18</v>
      </c>
      <c r="Y43" s="138">
        <f t="shared" si="0"/>
        <v>-0.11347517730496459</v>
      </c>
      <c r="Z43" s="138">
        <f t="shared" si="1"/>
        <v>-0.20212765957446821</v>
      </c>
      <c r="AA43" s="211">
        <f t="shared" si="2"/>
        <v>22.560000000000002</v>
      </c>
      <c r="AC43" s="158"/>
    </row>
    <row r="44" spans="1:29" x14ac:dyDescent="0.3">
      <c r="A44" t="s">
        <v>281</v>
      </c>
      <c r="B44" s="9" t="s">
        <v>109</v>
      </c>
      <c r="C44" s="107">
        <f>'Calcul R84'!C22</f>
        <v>33.083796105560623</v>
      </c>
      <c r="D44" s="107">
        <f>'Calcul R84'!D22</f>
        <v>32.32788259519932</v>
      </c>
      <c r="E44" s="107">
        <f>'Calcul R84'!E22</f>
        <v>32.277756859686157</v>
      </c>
      <c r="F44" s="107">
        <f>'Calcul R84'!F22</f>
        <v>32.020096090337681</v>
      </c>
      <c r="G44" s="107">
        <f>'Calcul R84'!G22</f>
        <v>32.700080583095684</v>
      </c>
      <c r="H44" s="107">
        <f>'Calcul R84'!H22</f>
        <v>33.202226948007997</v>
      </c>
      <c r="I44" s="107">
        <f>'Calcul R84'!I22</f>
        <v>32.718881528031908</v>
      </c>
      <c r="J44" s="107">
        <f>'Calcul R84'!J22</f>
        <v>32.624278581050753</v>
      </c>
      <c r="K44" s="107">
        <f>'Calcul R84'!K22</f>
        <v>32.908807690008665</v>
      </c>
      <c r="L44" s="107">
        <f>'Calcul R84'!L22</f>
        <v>31.9</v>
      </c>
      <c r="M44" s="107">
        <f>'Calcul R84'!M22</f>
        <v>31.7</v>
      </c>
      <c r="N44" s="107">
        <f>'Calcul R84'!N22</f>
        <v>31.7</v>
      </c>
      <c r="O44" s="107">
        <f>'Calcul R84'!O22</f>
        <v>32.1</v>
      </c>
      <c r="P44" s="107">
        <f>'Calcul R84'!P22</f>
        <v>30.6</v>
      </c>
      <c r="Q44" s="107"/>
      <c r="R44" s="107"/>
      <c r="S44" s="107"/>
      <c r="T44" s="107"/>
      <c r="U44" s="107"/>
      <c r="V44" s="107"/>
      <c r="W44" s="107">
        <f>'Calcul R84'!W22</f>
        <v>30</v>
      </c>
      <c r="X44" s="107">
        <f>'Calcul R84'!X22</f>
        <v>28.5</v>
      </c>
      <c r="Y44" s="138">
        <f t="shared" si="0"/>
        <v>-6.4305934518226526E-2</v>
      </c>
      <c r="Z44" s="138">
        <f t="shared" si="1"/>
        <v>-0.11109063779231521</v>
      </c>
      <c r="AA44" s="211">
        <f t="shared" si="2"/>
        <v>32.061761538001733</v>
      </c>
      <c r="AC44" s="158"/>
    </row>
    <row r="45" spans="1:29" x14ac:dyDescent="0.3">
      <c r="A45" t="s">
        <v>281</v>
      </c>
      <c r="B45" s="9" t="s">
        <v>110</v>
      </c>
      <c r="C45" s="107">
        <f>'Calcul R84'!C23</f>
        <v>23.830904600132801</v>
      </c>
      <c r="D45" s="107">
        <f>'Calcul R84'!D23</f>
        <v>22.926894486087189</v>
      </c>
      <c r="E45" s="107">
        <f>'Calcul R84'!E23</f>
        <v>23.830904600132811</v>
      </c>
      <c r="F45" s="107">
        <f>'Calcul R84'!F23</f>
        <v>24.064796374925809</v>
      </c>
      <c r="G45" s="107">
        <f>'Calcul R84'!G23</f>
        <v>24.693539695474367</v>
      </c>
      <c r="H45" s="107">
        <f>'Calcul R84'!H23</f>
        <v>25.493241536448537</v>
      </c>
      <c r="I45" s="107">
        <f>'Calcul R84'!I23</f>
        <v>25.825893721690601</v>
      </c>
      <c r="J45" s="107">
        <f>'Calcul R84'!J23</f>
        <v>26.256204250860648</v>
      </c>
      <c r="K45" s="107">
        <f>'Calcul R84'!K23</f>
        <v>28</v>
      </c>
      <c r="L45" s="107">
        <f>'Calcul R84'!L23</f>
        <v>28.4</v>
      </c>
      <c r="M45" s="107">
        <f>'Calcul R84'!M23</f>
        <v>28.4</v>
      </c>
      <c r="N45" s="107">
        <f>'Calcul R84'!N23</f>
        <v>28.3</v>
      </c>
      <c r="O45" s="107">
        <f>'Calcul R84'!O23</f>
        <v>27.9</v>
      </c>
      <c r="P45" s="107">
        <f>'Calcul R84'!P23</f>
        <v>29</v>
      </c>
      <c r="Q45" s="107"/>
      <c r="R45" s="107"/>
      <c r="S45" s="107"/>
      <c r="T45" s="107"/>
      <c r="U45" s="107"/>
      <c r="V45" s="107"/>
      <c r="W45" s="107">
        <f>'Calcul R84'!W23</f>
        <v>28</v>
      </c>
      <c r="X45" s="107">
        <f>'Calcul R84'!X23</f>
        <v>26.599999999999998</v>
      </c>
      <c r="Y45" s="138">
        <f t="shared" si="0"/>
        <v>-7.0921985815602939E-3</v>
      </c>
      <c r="Z45" s="138">
        <f t="shared" si="1"/>
        <v>-5.6737588652482351E-2</v>
      </c>
      <c r="AA45" s="211">
        <f t="shared" si="2"/>
        <v>28.2</v>
      </c>
      <c r="AC45" s="158"/>
    </row>
    <row r="46" spans="1:29" x14ac:dyDescent="0.3">
      <c r="A46" t="s">
        <v>281</v>
      </c>
      <c r="B46" s="9" t="s">
        <v>111</v>
      </c>
      <c r="C46" s="107">
        <f>'Calcul R84'!C24</f>
        <v>3.0197402368782718</v>
      </c>
      <c r="D46" s="107">
        <f>'Calcul R84'!D24</f>
        <v>2.914114208439623</v>
      </c>
      <c r="E46" s="107">
        <f>'Calcul R84'!E24</f>
        <v>2.8286457893609862</v>
      </c>
      <c r="F46" s="107">
        <f>'Calcul R84'!F24</f>
        <v>2.7220656074510337</v>
      </c>
      <c r="G46" s="107">
        <f>'Calcul R84'!G24</f>
        <v>2.7036986735479198</v>
      </c>
      <c r="H46" s="107">
        <f>'Calcul R84'!H24</f>
        <v>2.5722331142560653</v>
      </c>
      <c r="I46" s="107">
        <f>'Calcul R84'!I24</f>
        <v>2.4952831088580254</v>
      </c>
      <c r="J46" s="107">
        <f>'Calcul R84'!J24</f>
        <v>2.4574457715910807</v>
      </c>
      <c r="K46" s="107">
        <f>'Calcul R84'!K24</f>
        <v>2.5</v>
      </c>
      <c r="L46" s="107">
        <f>'Calcul R84'!L24</f>
        <v>2.5</v>
      </c>
      <c r="M46" s="107">
        <f>'Calcul R84'!M24</f>
        <v>2.2999999999999998</v>
      </c>
      <c r="N46" s="107">
        <f>'Calcul R84'!N24</f>
        <v>2.27</v>
      </c>
      <c r="O46" s="107">
        <f>'Calcul R84'!O24</f>
        <v>2.2000000000000002</v>
      </c>
      <c r="P46" s="107">
        <f>'Calcul R84'!P24</f>
        <v>2.2000000000000002</v>
      </c>
      <c r="Q46" s="107"/>
      <c r="R46" s="107"/>
      <c r="S46" s="107"/>
      <c r="T46" s="107"/>
      <c r="U46" s="107"/>
      <c r="V46" s="107"/>
      <c r="W46" s="107">
        <f>'Calcul R84'!W24</f>
        <v>2</v>
      </c>
      <c r="X46" s="107">
        <f>'Calcul R84'!X24</f>
        <v>1.8</v>
      </c>
      <c r="Y46" s="138">
        <f t="shared" si="0"/>
        <v>-0.15038232795242146</v>
      </c>
      <c r="Z46" s="138">
        <f t="shared" si="1"/>
        <v>-0.23534409515717924</v>
      </c>
      <c r="AA46" s="211">
        <f t="shared" si="2"/>
        <v>2.3540000000000001</v>
      </c>
      <c r="AC46" s="158"/>
    </row>
    <row r="47" spans="1:29" x14ac:dyDescent="0.3">
      <c r="A47" t="s">
        <v>281</v>
      </c>
      <c r="B47" s="9" t="s">
        <v>44</v>
      </c>
      <c r="C47" s="107">
        <f>'Calcul R84'!C25</f>
        <v>13.524617785779524</v>
      </c>
      <c r="D47" s="107">
        <f>'Calcul R84'!D25</f>
        <v>12.171288343897722</v>
      </c>
      <c r="E47" s="107">
        <f>'Calcul R84'!E25</f>
        <v>12.220020914292707</v>
      </c>
      <c r="F47" s="107">
        <f>'Calcul R84'!F25</f>
        <v>13.513925733026769</v>
      </c>
      <c r="G47" s="107">
        <f>'Calcul R84'!G25</f>
        <v>13.213180431526251</v>
      </c>
      <c r="H47" s="107">
        <f>'Calcul R84'!H25</f>
        <v>13.408560330305036</v>
      </c>
      <c r="I47" s="107">
        <f>'Calcul R84'!I25</f>
        <v>13.120296814924522</v>
      </c>
      <c r="J47" s="107">
        <f>'Calcul R84'!J25</f>
        <v>13.731868665175201</v>
      </c>
      <c r="K47" s="107">
        <f>'Calcul R84'!K25</f>
        <v>13.276739605409077</v>
      </c>
      <c r="L47" s="107">
        <f>'Calcul R84'!L25</f>
        <v>12.8</v>
      </c>
      <c r="M47" s="107">
        <f>'Calcul R84'!M25</f>
        <v>14.1</v>
      </c>
      <c r="N47" s="107">
        <f>'Calcul R84'!N25</f>
        <v>14.2</v>
      </c>
      <c r="O47" s="107">
        <f>'Calcul R84'!O25</f>
        <v>14.5</v>
      </c>
      <c r="P47" s="107">
        <f>'Calcul R84'!P25</f>
        <v>15</v>
      </c>
      <c r="Q47" s="107"/>
      <c r="R47" s="107"/>
      <c r="S47" s="107"/>
      <c r="T47" s="107"/>
      <c r="U47" s="107"/>
      <c r="V47" s="107"/>
      <c r="W47" s="107">
        <f>'Calcul R84'!W25</f>
        <v>15</v>
      </c>
      <c r="X47" s="107">
        <f>'Calcul R84'!X25</f>
        <v>14.7</v>
      </c>
      <c r="Y47" s="138">
        <f t="shared" si="0"/>
        <v>8.8901716743137627E-2</v>
      </c>
      <c r="Z47" s="138">
        <f t="shared" si="1"/>
        <v>6.7123682408274821E-2</v>
      </c>
      <c r="AA47" s="211">
        <f t="shared" si="2"/>
        <v>13.775347921081813</v>
      </c>
      <c r="AC47" s="158"/>
    </row>
    <row r="48" spans="1:29" x14ac:dyDescent="0.3">
      <c r="A48" t="s">
        <v>281</v>
      </c>
      <c r="B48" s="9" t="s">
        <v>112</v>
      </c>
      <c r="C48" s="107">
        <f>'Calcul R84'!C26</f>
        <v>356.90700585542027</v>
      </c>
      <c r="D48" s="107">
        <f>'Calcul R84'!D26</f>
        <v>356.01510984118306</v>
      </c>
      <c r="E48" s="107">
        <f>'Calcul R84'!E26</f>
        <v>354.72110650832559</v>
      </c>
      <c r="F48" s="107">
        <f>'Calcul R84'!F26</f>
        <v>353.93994538638594</v>
      </c>
      <c r="G48" s="107">
        <f>'Calcul R84'!G26</f>
        <v>360.13449215740792</v>
      </c>
      <c r="H48" s="107">
        <f>'Calcul R84'!H26</f>
        <v>355.08771550963172</v>
      </c>
      <c r="I48" s="107">
        <f>'Calcul R84'!I26</f>
        <v>347.27314324950345</v>
      </c>
      <c r="J48" s="107">
        <f>'Calcul R84'!J26</f>
        <v>346.41117043054464</v>
      </c>
      <c r="K48" s="107">
        <f>'Calcul R84'!K26</f>
        <v>345.21500000000003</v>
      </c>
      <c r="L48" s="107">
        <f>'Calcul R84'!L26</f>
        <v>367.89000000000004</v>
      </c>
      <c r="M48" s="107">
        <f>'Calcul R84'!M26</f>
        <v>354.35</v>
      </c>
      <c r="N48" s="107">
        <f>'Calcul R84'!N26</f>
        <v>368</v>
      </c>
      <c r="O48" s="107">
        <f>'Calcul R84'!O26</f>
        <v>362.1</v>
      </c>
      <c r="P48" s="107"/>
      <c r="Q48" s="107"/>
      <c r="R48" s="107"/>
      <c r="S48" s="107"/>
      <c r="T48" s="107"/>
      <c r="U48" s="107"/>
      <c r="V48" s="107"/>
      <c r="W48" s="107">
        <f>'Calcul R84'!W26</f>
        <v>360</v>
      </c>
      <c r="X48" s="107">
        <f>'Calcul R84'!X26</f>
        <v>324</v>
      </c>
      <c r="Y48" s="138">
        <f t="shared" si="0"/>
        <v>1.3601809124061948E-3</v>
      </c>
      <c r="Z48" s="138">
        <f t="shared" si="1"/>
        <v>-9.8775837178834536E-2</v>
      </c>
      <c r="AA48" s="211">
        <f t="shared" si="2"/>
        <v>359.51099999999997</v>
      </c>
      <c r="AB48" t="s">
        <v>289</v>
      </c>
      <c r="AC48" s="158"/>
    </row>
    <row r="49" spans="1:32" x14ac:dyDescent="0.3">
      <c r="A49" t="s">
        <v>281</v>
      </c>
      <c r="B49" s="192" t="s">
        <v>287</v>
      </c>
      <c r="C49" s="201">
        <f>'Calcul R84'!C27</f>
        <v>65.67071849772428</v>
      </c>
      <c r="D49" s="201">
        <f>'Calcul R84'!D27</f>
        <v>64.778822483487048</v>
      </c>
      <c r="E49" s="201">
        <f>'Calcul R84'!E27</f>
        <v>63.820043275225572</v>
      </c>
      <c r="F49" s="201">
        <f>'Calcul R84'!F27</f>
        <v>63.917857853333864</v>
      </c>
      <c r="G49" s="201">
        <f>'Calcul R84'!G27</f>
        <v>61.941448731224646</v>
      </c>
      <c r="H49" s="201">
        <f>'Calcul R84'!H27</f>
        <v>59.799736294770661</v>
      </c>
      <c r="I49" s="201">
        <f>'Calcul R84'!I27</f>
        <v>57.047277806805994</v>
      </c>
      <c r="J49" s="201">
        <f>'Calcul R84'!J27</f>
        <v>54.916348624344558</v>
      </c>
      <c r="K49" s="201">
        <f>'Calcul R84'!K27</f>
        <v>53.22</v>
      </c>
      <c r="L49" s="201">
        <f>'Calcul R84'!L27</f>
        <v>52.78</v>
      </c>
      <c r="M49" s="201">
        <f>'Calcul R84'!M27</f>
        <v>51.1</v>
      </c>
      <c r="N49" s="201">
        <f>'Calcul R84'!N27</f>
        <v>49.2</v>
      </c>
      <c r="O49" s="201">
        <f>'Calcul R84'!O27</f>
        <v>49.4</v>
      </c>
      <c r="P49" s="201"/>
      <c r="Q49" s="201"/>
      <c r="R49" s="201"/>
      <c r="S49" s="201"/>
      <c r="T49" s="201"/>
      <c r="U49" s="201"/>
      <c r="V49" s="201"/>
      <c r="W49" s="201">
        <f>'Calcul R84'!X27</f>
        <v>37.800000000000004</v>
      </c>
      <c r="X49" s="196"/>
      <c r="AF49" s="158"/>
    </row>
    <row r="50" spans="1:32" x14ac:dyDescent="0.3">
      <c r="A50" t="s">
        <v>281</v>
      </c>
      <c r="B50" s="192" t="s">
        <v>288</v>
      </c>
      <c r="C50" s="201">
        <f>'Calcul R84'!C28</f>
        <v>65.67071849772428</v>
      </c>
      <c r="D50" s="201">
        <f>'Calcul R84'!D28</f>
        <v>64.778822483487048</v>
      </c>
      <c r="E50" s="201">
        <f>'Calcul R84'!E28</f>
        <v>63.820043275225572</v>
      </c>
      <c r="F50" s="201">
        <f>'Calcul R84'!F28</f>
        <v>63.917857853333864</v>
      </c>
      <c r="G50" s="201">
        <f>'Calcul R84'!G28</f>
        <v>61.941448731224646</v>
      </c>
      <c r="H50" s="201">
        <f>'Calcul R84'!H28</f>
        <v>59.799736294770661</v>
      </c>
      <c r="I50" s="201">
        <f>'Calcul R84'!I28</f>
        <v>57.047277806805994</v>
      </c>
      <c r="J50" s="201">
        <f>'Calcul R84'!J28</f>
        <v>54.916348624344558</v>
      </c>
      <c r="K50" s="201">
        <f>'Calcul R84'!K28</f>
        <v>53.22</v>
      </c>
      <c r="L50" s="201">
        <f>'Calcul R84'!L28</f>
        <v>52.78</v>
      </c>
      <c r="M50" s="201">
        <f>'Calcul R84'!M28</f>
        <v>51.1</v>
      </c>
      <c r="N50" s="201">
        <f>'Calcul R84'!N28</f>
        <v>49.2</v>
      </c>
      <c r="O50" s="201">
        <f>'Calcul R84'!O28</f>
        <v>49.4</v>
      </c>
      <c r="P50" s="201"/>
      <c r="Q50" s="201"/>
      <c r="R50" s="201"/>
      <c r="S50" s="201"/>
      <c r="T50" s="201"/>
      <c r="U50" s="201"/>
      <c r="V50" s="201"/>
      <c r="W50" s="201">
        <f>'Calcul R84'!X28</f>
        <v>37.800000000000004</v>
      </c>
      <c r="X50" s="196"/>
      <c r="AF50" s="158"/>
    </row>
    <row r="51" spans="1:32" x14ac:dyDescent="0.3">
      <c r="A51" t="s">
        <v>281</v>
      </c>
      <c r="B51" s="192" t="s">
        <v>290</v>
      </c>
      <c r="C51" s="201">
        <f>'Calcul R84'!C29</f>
        <v>38.894487239680366</v>
      </c>
      <c r="D51" s="201">
        <f>'Calcul R84'!D29</f>
        <v>38.894487239680366</v>
      </c>
      <c r="E51" s="201">
        <f>'Calcul R84'!E29</f>
        <v>38.046136230756268</v>
      </c>
      <c r="F51" s="201">
        <f>'Calcul R84'!F29</f>
        <v>37.814221258253667</v>
      </c>
      <c r="G51" s="201">
        <f>'Calcul R84'!G29</f>
        <v>37.098708345082201</v>
      </c>
      <c r="H51" s="201">
        <f>'Calcul R84'!H29</f>
        <v>37.388873513335966</v>
      </c>
      <c r="I51" s="201">
        <f>'Calcul R84'!I29</f>
        <v>36.696968805351183</v>
      </c>
      <c r="J51" s="201">
        <f>'Calcul R84'!J29</f>
        <v>36.805374822505314</v>
      </c>
      <c r="K51" s="201">
        <f>'Calcul R84'!K29</f>
        <v>36.729999999999997</v>
      </c>
      <c r="L51" s="201">
        <f>'Calcul R84'!L29</f>
        <v>38.340000000000003</v>
      </c>
      <c r="M51" s="201">
        <f>'Calcul R84'!M29</f>
        <v>35.5</v>
      </c>
      <c r="N51" s="201">
        <f>'Calcul R84'!N29</f>
        <v>35.200000000000003</v>
      </c>
      <c r="O51" s="201">
        <f>'Calcul R84'!O29</f>
        <v>35.799999999999997</v>
      </c>
      <c r="P51" s="201"/>
      <c r="Q51" s="201"/>
      <c r="R51" s="201"/>
      <c r="S51" s="201"/>
      <c r="T51" s="201"/>
      <c r="U51" s="201"/>
      <c r="V51" s="201"/>
      <c r="W51" s="201">
        <f>'Calcul R84'!X29</f>
        <v>30.6</v>
      </c>
      <c r="X51" s="196"/>
      <c r="AF51" s="158"/>
    </row>
    <row r="52" spans="1:32" x14ac:dyDescent="0.3">
      <c r="A52" t="s">
        <v>281</v>
      </c>
      <c r="B52" s="192" t="s">
        <v>291</v>
      </c>
      <c r="C52" s="201">
        <f>'Calcul R84'!C30</f>
        <v>58.341730859520553</v>
      </c>
      <c r="D52" s="201">
        <f>'Calcul R84'!D30</f>
        <v>58.341730859520553</v>
      </c>
      <c r="E52" s="201">
        <f>'Calcul R84'!E30</f>
        <v>57.069204346134399</v>
      </c>
      <c r="F52" s="201">
        <f>'Calcul R84'!F30</f>
        <v>56.721331887380501</v>
      </c>
      <c r="G52" s="201">
        <f>'Calcul R84'!G30</f>
        <v>55.648062517623302</v>
      </c>
      <c r="H52" s="201">
        <f>'Calcul R84'!H30</f>
        <v>56.083310270003949</v>
      </c>
      <c r="I52" s="201">
        <f>'Calcul R84'!I30</f>
        <v>55.045453208026771</v>
      </c>
      <c r="J52" s="201">
        <f>'Calcul R84'!J30</f>
        <v>55.208062233757971</v>
      </c>
      <c r="K52" s="201">
        <f>'Calcul R84'!K30</f>
        <v>55.094999999999999</v>
      </c>
      <c r="L52" s="201">
        <f>'Calcul R84'!L30</f>
        <v>57.510000000000005</v>
      </c>
      <c r="M52" s="201">
        <f>'Calcul R84'!M30</f>
        <v>53.25</v>
      </c>
      <c r="N52" s="201">
        <f>'Calcul R84'!N30</f>
        <v>52.800000000000004</v>
      </c>
      <c r="O52" s="201">
        <f>'Calcul R84'!O30</f>
        <v>53.699999999999996</v>
      </c>
      <c r="P52" s="201"/>
      <c r="Q52" s="201"/>
      <c r="R52" s="201"/>
      <c r="S52" s="201"/>
      <c r="T52" s="201"/>
      <c r="U52" s="201"/>
      <c r="V52" s="201"/>
      <c r="W52" s="201">
        <f>'Calcul R84'!X30</f>
        <v>45.9</v>
      </c>
      <c r="X52" s="196"/>
      <c r="AF52" s="158"/>
    </row>
    <row r="53" spans="1:32" x14ac:dyDescent="0.3">
      <c r="A53" t="s">
        <v>281</v>
      </c>
      <c r="B53" s="192" t="s">
        <v>292</v>
      </c>
      <c r="C53" s="201">
        <f>'Calcul R84'!C31</f>
        <v>23.289455649817544</v>
      </c>
      <c r="D53" s="201">
        <f>'Calcul R84'!D31</f>
        <v>23.289455649817544</v>
      </c>
      <c r="E53" s="201">
        <f>'Calcul R84'!E31</f>
        <v>23.383185888696563</v>
      </c>
      <c r="F53" s="201">
        <f>'Calcul R84'!F31</f>
        <v>23.330075564567156</v>
      </c>
      <c r="G53" s="201">
        <f>'Calcul R84'!G31</f>
        <v>24.254498090855996</v>
      </c>
      <c r="H53" s="201">
        <f>'Calcul R84'!H31</f>
        <v>23.92046689448571</v>
      </c>
      <c r="I53" s="201">
        <f>'Calcul R84'!I31</f>
        <v>23.518041223467069</v>
      </c>
      <c r="J53" s="201">
        <f>'Calcul R84'!J31</f>
        <v>23.628675957244209</v>
      </c>
      <c r="K53" s="201">
        <f>'Calcul R84'!K31</f>
        <v>23.69</v>
      </c>
      <c r="L53" s="201">
        <f>'Calcul R84'!L31</f>
        <v>25.76</v>
      </c>
      <c r="M53" s="201">
        <f>'Calcul R84'!M31</f>
        <v>25</v>
      </c>
      <c r="N53" s="201">
        <f>'Calcul R84'!N31</f>
        <v>26.6</v>
      </c>
      <c r="O53" s="201">
        <f>'Calcul R84'!O31</f>
        <v>25.9</v>
      </c>
      <c r="P53" s="201"/>
      <c r="Q53" s="201"/>
      <c r="R53" s="201"/>
      <c r="S53" s="201"/>
      <c r="T53" s="201"/>
      <c r="U53" s="201"/>
      <c r="V53" s="201"/>
      <c r="W53" s="201">
        <f>'Calcul R84'!X31</f>
        <v>24.03</v>
      </c>
      <c r="X53" s="196"/>
      <c r="AF53" s="158"/>
    </row>
    <row r="54" spans="1:32" x14ac:dyDescent="0.3">
      <c r="A54" t="s">
        <v>281</v>
      </c>
      <c r="B54" s="200" t="s">
        <v>293</v>
      </c>
      <c r="C54" s="201">
        <f>'Calcul R84'!C32</f>
        <v>232.89455649817543</v>
      </c>
      <c r="D54" s="201">
        <f>'Calcul R84'!D32</f>
        <v>232.89455649817543</v>
      </c>
      <c r="E54" s="201">
        <f>'Calcul R84'!E32</f>
        <v>233.83185888696562</v>
      </c>
      <c r="F54" s="201">
        <f>'Calcul R84'!F32</f>
        <v>233.30075564567156</v>
      </c>
      <c r="G54" s="201">
        <f>'Calcul R84'!G32</f>
        <v>242.54498090855998</v>
      </c>
      <c r="H54" s="201">
        <f>'Calcul R84'!H32</f>
        <v>239.2046689448571</v>
      </c>
      <c r="I54" s="201">
        <f>'Calcul R84'!I32</f>
        <v>235.18041223467068</v>
      </c>
      <c r="J54" s="201">
        <f>'Calcul R84'!J32</f>
        <v>236.28675957244209</v>
      </c>
      <c r="K54" s="201">
        <f>'Calcul R84'!K32</f>
        <v>236.9</v>
      </c>
      <c r="L54" s="201">
        <f>'Calcul R84'!L32</f>
        <v>257.60000000000002</v>
      </c>
      <c r="M54" s="201">
        <f>'Calcul R84'!M32</f>
        <v>250</v>
      </c>
      <c r="N54" s="201">
        <f>'Calcul R84'!N32</f>
        <v>266</v>
      </c>
      <c r="O54" s="201">
        <f>'Calcul R84'!O32</f>
        <v>259</v>
      </c>
      <c r="P54" s="201"/>
      <c r="Q54" s="201"/>
      <c r="R54" s="201"/>
      <c r="S54" s="201"/>
      <c r="T54" s="201"/>
      <c r="U54" s="201"/>
      <c r="V54" s="201"/>
      <c r="W54" s="201">
        <f>'Calcul R84'!X32</f>
        <v>240.3</v>
      </c>
      <c r="X54" s="196"/>
      <c r="AF54" s="158"/>
    </row>
    <row r="55" spans="1:32" s="90" customFormat="1" x14ac:dyDescent="0.3">
      <c r="B55" s="199"/>
      <c r="C55" s="198"/>
      <c r="D55" s="198"/>
      <c r="E55" s="198"/>
      <c r="F55" s="198"/>
      <c r="G55" s="198"/>
      <c r="H55" s="198"/>
      <c r="I55" s="198"/>
      <c r="J55" s="198"/>
      <c r="K55" s="198"/>
      <c r="L55" s="198"/>
      <c r="M55" s="198"/>
      <c r="N55" s="198"/>
      <c r="O55" s="198"/>
      <c r="P55" s="198"/>
      <c r="Q55" s="198"/>
      <c r="R55" s="198"/>
      <c r="S55" s="198"/>
      <c r="T55" s="198"/>
      <c r="U55" s="198"/>
      <c r="V55" s="198"/>
      <c r="W55" s="198"/>
      <c r="X55" s="198"/>
      <c r="AF55" s="158"/>
    </row>
    <row r="56" spans="1:32" x14ac:dyDescent="0.3">
      <c r="J56" s="1"/>
    </row>
    <row r="57" spans="1:32" x14ac:dyDescent="0.3">
      <c r="A57" t="s">
        <v>332</v>
      </c>
      <c r="F57" s="90" t="s">
        <v>212</v>
      </c>
      <c r="L57" s="1" t="s">
        <v>230</v>
      </c>
      <c r="M57" s="1"/>
    </row>
    <row r="58" spans="1:32" ht="28.8" x14ac:dyDescent="0.3">
      <c r="A58" s="108" t="s">
        <v>305</v>
      </c>
      <c r="B58" s="108" t="s">
        <v>306</v>
      </c>
      <c r="C58" s="165" t="s">
        <v>307</v>
      </c>
      <c r="D58" s="108" t="s">
        <v>308</v>
      </c>
      <c r="E58" s="108" t="s">
        <v>22</v>
      </c>
      <c r="F58" s="435" t="s">
        <v>424</v>
      </c>
      <c r="I58" s="65" t="s">
        <v>315</v>
      </c>
      <c r="J58" s="65" t="s">
        <v>333</v>
      </c>
      <c r="L58" s="425" t="s">
        <v>425</v>
      </c>
      <c r="M58" s="165" t="s">
        <v>426</v>
      </c>
      <c r="N58" s="108" t="s">
        <v>308</v>
      </c>
      <c r="O58" s="108" t="s">
        <v>22</v>
      </c>
      <c r="P58" s="435" t="s">
        <v>424</v>
      </c>
    </row>
    <row r="59" spans="1:32" x14ac:dyDescent="0.3">
      <c r="A59" s="108" t="s">
        <v>77</v>
      </c>
      <c r="B59" s="108">
        <f>E59*F59</f>
        <v>1722611.8065875568</v>
      </c>
      <c r="C59" s="135">
        <f>E59-D59-B59</f>
        <v>916991.54175446369</v>
      </c>
      <c r="D59" s="108">
        <f>E59*'cereal - util hum anim indus'!D441</f>
        <v>2053082.6516579795</v>
      </c>
      <c r="E59" s="76">
        <v>4692686</v>
      </c>
      <c r="F59" s="138">
        <f>'Calcul R84'!F36</f>
        <v>0.36708439614062327</v>
      </c>
      <c r="G59" s="7"/>
      <c r="I59" s="65" t="s">
        <v>56</v>
      </c>
      <c r="J59" s="76">
        <v>9005013</v>
      </c>
      <c r="L59" s="108">
        <f t="shared" ref="L59:L78" si="3">O59*F59</f>
        <v>1722611.8065875568</v>
      </c>
      <c r="M59" s="135">
        <f>O59-N59-L59</f>
        <v>916991.54175446369</v>
      </c>
      <c r="N59" s="108">
        <f>O59*'cereal - util hum anim indus'!D441</f>
        <v>2053082.6516579795</v>
      </c>
      <c r="O59" s="76">
        <v>4692686</v>
      </c>
      <c r="P59" s="138">
        <f t="shared" ref="P59:P76" si="4">L59/O59</f>
        <v>0.36708439614062327</v>
      </c>
    </row>
    <row r="60" spans="1:32" x14ac:dyDescent="0.3">
      <c r="A60" s="108" t="s">
        <v>78</v>
      </c>
      <c r="B60" s="108">
        <f>E60*F60</f>
        <v>229572.75316455695</v>
      </c>
      <c r="C60" s="135">
        <f t="shared" ref="C60:C81" si="5">E60-D60-B60</f>
        <v>6599.2167721519072</v>
      </c>
      <c r="D60" s="135">
        <f>E60*'cereal - util hum anim indus'!D442</f>
        <v>16598.030063291139</v>
      </c>
      <c r="E60" s="76">
        <v>252770</v>
      </c>
      <c r="F60" s="139">
        <f>'Calcul R84'!F37</f>
        <v>0.90822784810126578</v>
      </c>
      <c r="G60" s="90"/>
      <c r="I60" s="65" t="s">
        <v>309</v>
      </c>
      <c r="J60" s="76">
        <v>2323603</v>
      </c>
      <c r="L60" s="108">
        <f t="shared" si="3"/>
        <v>229572.75316455695</v>
      </c>
      <c r="M60" s="135">
        <f t="shared" ref="M60:M76" si="6">O60-N60-L60</f>
        <v>6599.2167721519072</v>
      </c>
      <c r="N60" s="135">
        <f>O60*'cereal - util hum anim indus'!D442</f>
        <v>16598.030063291139</v>
      </c>
      <c r="O60" s="5">
        <v>252770</v>
      </c>
      <c r="P60" s="139">
        <f t="shared" si="4"/>
        <v>0.90822784810126578</v>
      </c>
    </row>
    <row r="61" spans="1:32" x14ac:dyDescent="0.3">
      <c r="A61" s="108" t="s">
        <v>80</v>
      </c>
      <c r="B61" s="135">
        <f>E61*'cereal - util hum anim indus'!I445</f>
        <v>4573.5872093023254</v>
      </c>
      <c r="C61" s="135">
        <f t="shared" si="5"/>
        <v>1203.5755813953465</v>
      </c>
      <c r="D61" s="135">
        <f>E61*'cereal - util hum anim indus'!D445</f>
        <v>35625.837209302328</v>
      </c>
      <c r="E61" s="76">
        <v>41403</v>
      </c>
      <c r="F61" s="139">
        <f t="shared" ref="F61:F77" si="7">B61/E61</f>
        <v>0.11046511627906977</v>
      </c>
      <c r="G61" s="630">
        <f>SUM(B61:B67)/SUM(E61:E67)</f>
        <v>4.8824492132379063E-2</v>
      </c>
      <c r="I61" s="65" t="s">
        <v>310</v>
      </c>
      <c r="J61" s="76">
        <v>256561</v>
      </c>
      <c r="L61" s="108">
        <f t="shared" si="3"/>
        <v>4573.5872093023254</v>
      </c>
      <c r="M61" s="135">
        <f t="shared" si="6"/>
        <v>1203.5755813953465</v>
      </c>
      <c r="N61" s="135">
        <f>O61*'cereal - util hum anim indus'!D445</f>
        <v>35625.837209302328</v>
      </c>
      <c r="O61" s="5">
        <v>41403</v>
      </c>
      <c r="P61" s="139">
        <f t="shared" si="4"/>
        <v>0.11046511627906977</v>
      </c>
      <c r="Q61" s="630">
        <f>SUM(L61:L67)/SUM(O61:O67)</f>
        <v>4.8734471320221018E-2</v>
      </c>
    </row>
    <row r="62" spans="1:32" x14ac:dyDescent="0.3">
      <c r="A62" s="108" t="s">
        <v>81</v>
      </c>
      <c r="B62" s="135">
        <f>E62*'cereal - util hum anim indus'!I444</f>
        <v>61368.072587297225</v>
      </c>
      <c r="C62" s="135">
        <f t="shared" si="5"/>
        <v>269508.11877921369</v>
      </c>
      <c r="D62" s="135">
        <f>E62*'cereal - util hum anim indus'!D444</f>
        <v>1529087.8086334891</v>
      </c>
      <c r="E62" s="76">
        <v>1859964</v>
      </c>
      <c r="F62" s="139">
        <f t="shared" si="7"/>
        <v>3.2994226010448172E-2</v>
      </c>
      <c r="G62" s="631"/>
      <c r="I62" s="65" t="s">
        <v>311</v>
      </c>
      <c r="J62" s="108">
        <f>E81</f>
        <v>3861253</v>
      </c>
      <c r="L62" s="108">
        <f t="shared" si="3"/>
        <v>61368.072587297225</v>
      </c>
      <c r="M62" s="135">
        <f t="shared" si="6"/>
        <v>269508.11877921369</v>
      </c>
      <c r="N62" s="135">
        <f>O62*'cereal - util hum anim indus'!D444</f>
        <v>1529087.8086334891</v>
      </c>
      <c r="O62" s="5">
        <v>1859964</v>
      </c>
      <c r="P62" s="139">
        <f t="shared" si="4"/>
        <v>3.2994226010448172E-2</v>
      </c>
      <c r="Q62" s="631"/>
    </row>
    <row r="63" spans="1:32" x14ac:dyDescent="0.3">
      <c r="A63" s="108" t="s">
        <v>82</v>
      </c>
      <c r="B63" s="135">
        <f>E63*'cereal - util hum anim indus'!I446</f>
        <v>3360.4304812834225</v>
      </c>
      <c r="C63" s="135">
        <f t="shared" si="5"/>
        <v>3101.93582887701</v>
      </c>
      <c r="D63" s="135">
        <f>E63*'cereal - util hum anim indus'!D446</f>
        <v>90214.633689839568</v>
      </c>
      <c r="E63" s="76">
        <v>96677</v>
      </c>
      <c r="F63" s="139">
        <f t="shared" si="7"/>
        <v>3.4759358288770054E-2</v>
      </c>
      <c r="G63" s="631"/>
      <c r="I63" s="65" t="s">
        <v>312</v>
      </c>
      <c r="J63" s="108">
        <f>E83</f>
        <v>10439684</v>
      </c>
      <c r="L63" s="108">
        <f t="shared" si="3"/>
        <v>3360.4304812834225</v>
      </c>
      <c r="M63" s="135">
        <f t="shared" si="6"/>
        <v>3101.93582887701</v>
      </c>
      <c r="N63" s="135">
        <f>O63*'cereal - util hum anim indus'!D446</f>
        <v>90214.633689839568</v>
      </c>
      <c r="O63" s="5">
        <v>96677</v>
      </c>
      <c r="P63" s="139">
        <f t="shared" si="4"/>
        <v>3.4759358288770054E-2</v>
      </c>
      <c r="Q63" s="631"/>
    </row>
    <row r="64" spans="1:32" x14ac:dyDescent="0.3">
      <c r="A64" s="108" t="s">
        <v>83</v>
      </c>
      <c r="B64" s="135">
        <f>E64*'cereal - util hum anim indus'!I443</f>
        <v>101373.2848101266</v>
      </c>
      <c r="C64" s="135">
        <f t="shared" si="5"/>
        <v>199845.31399437407</v>
      </c>
      <c r="D64" s="135">
        <f>E64*'cereal - util hum anim indus'!D443</f>
        <v>1154870.4011954993</v>
      </c>
      <c r="E64" s="76">
        <v>1456089</v>
      </c>
      <c r="F64" s="139">
        <f t="shared" si="7"/>
        <v>6.9620253164556972E-2</v>
      </c>
      <c r="G64" s="631"/>
      <c r="I64" s="65" t="s">
        <v>88</v>
      </c>
      <c r="J64" s="108">
        <f>E79</f>
        <v>477423</v>
      </c>
      <c r="L64" s="108">
        <f t="shared" si="3"/>
        <v>100163.77215189875</v>
      </c>
      <c r="M64" s="135">
        <f t="shared" si="6"/>
        <v>197460.90436005621</v>
      </c>
      <c r="N64" s="135">
        <f>O64*'cereal - util hum anim indus'!D443</f>
        <v>1141091.323488045</v>
      </c>
      <c r="O64" s="5">
        <v>1438716</v>
      </c>
      <c r="P64" s="139">
        <f t="shared" si="4"/>
        <v>6.9620253164556972E-2</v>
      </c>
      <c r="Q64" s="631"/>
    </row>
    <row r="65" spans="1:17" x14ac:dyDescent="0.3">
      <c r="A65" s="108" t="s">
        <v>186</v>
      </c>
      <c r="B65" s="135">
        <f>E65*'cereal - util hum anim indus'!I448</f>
        <v>659.84931506849307</v>
      </c>
      <c r="C65" s="135">
        <f t="shared" si="5"/>
        <v>659.84931506849034</v>
      </c>
      <c r="D65" s="135">
        <f>E65*'cereal - util hum anim indus'!D448</f>
        <v>46849.301369863017</v>
      </c>
      <c r="E65" s="76">
        <v>48169</v>
      </c>
      <c r="F65" s="139">
        <f t="shared" si="7"/>
        <v>1.3698630136986299E-2</v>
      </c>
      <c r="G65" s="631"/>
      <c r="I65" s="65" t="s">
        <v>89</v>
      </c>
      <c r="J65" s="108">
        <f>E80</f>
        <v>218942</v>
      </c>
      <c r="L65" s="108">
        <f t="shared" si="3"/>
        <v>659.84931506849307</v>
      </c>
      <c r="M65" s="135">
        <f t="shared" si="6"/>
        <v>659.84931506849034</v>
      </c>
      <c r="N65" s="135">
        <f>O65*'cereal - util hum anim indus'!D448</f>
        <v>46849.301369863017</v>
      </c>
      <c r="O65" s="5">
        <v>48169</v>
      </c>
      <c r="P65" s="139">
        <f t="shared" si="4"/>
        <v>1.3698630136986299E-2</v>
      </c>
      <c r="Q65" s="631"/>
    </row>
    <row r="66" spans="1:17" x14ac:dyDescent="0.3">
      <c r="A66" s="108" t="s">
        <v>187</v>
      </c>
      <c r="B66" s="135">
        <f>E66*'cereal - util hum anim indus'!I447</f>
        <v>1728.394686907021</v>
      </c>
      <c r="C66" s="135">
        <f t="shared" si="5"/>
        <v>10586.417457305462</v>
      </c>
      <c r="D66" s="135">
        <f>E66*'cereal - util hum anim indus'!D447</f>
        <v>329259.18785578752</v>
      </c>
      <c r="E66" s="76">
        <v>341574</v>
      </c>
      <c r="F66" s="139">
        <f t="shared" si="7"/>
        <v>5.0600885515496522E-3</v>
      </c>
      <c r="G66" s="631"/>
      <c r="I66" s="65" t="s">
        <v>317</v>
      </c>
      <c r="J66" s="76">
        <v>795347</v>
      </c>
      <c r="L66" s="108">
        <f t="shared" si="3"/>
        <v>1728.394686907021</v>
      </c>
      <c r="M66" s="135">
        <f t="shared" si="6"/>
        <v>10586.417457305462</v>
      </c>
      <c r="N66" s="135">
        <f>O66*'cereal - util hum anim indus'!D447</f>
        <v>329259.18785578752</v>
      </c>
      <c r="O66" s="5">
        <v>341574</v>
      </c>
      <c r="P66" s="139">
        <f t="shared" si="4"/>
        <v>5.0600885515496522E-3</v>
      </c>
      <c r="Q66" s="631"/>
    </row>
    <row r="67" spans="1:17" x14ac:dyDescent="0.3">
      <c r="A67" s="108" t="s">
        <v>84</v>
      </c>
      <c r="B67" s="135">
        <f>E67*'cereal - util hum anim indus'!I449</f>
        <v>23734.237837837834</v>
      </c>
      <c r="C67" s="135">
        <f t="shared" si="5"/>
        <v>0</v>
      </c>
      <c r="D67" s="135">
        <f>E67*'cereal - util hum anim indus'!D449</f>
        <v>163109.76216216217</v>
      </c>
      <c r="E67" s="76">
        <v>186844</v>
      </c>
      <c r="F67" s="139">
        <f t="shared" si="7"/>
        <v>0.12702702702702701</v>
      </c>
      <c r="G67" s="632"/>
      <c r="I67" s="65" t="s">
        <v>319</v>
      </c>
      <c r="J67" s="76">
        <v>86222</v>
      </c>
      <c r="L67" s="108">
        <f t="shared" si="3"/>
        <v>23734.237837837834</v>
      </c>
      <c r="M67" s="135">
        <f t="shared" si="6"/>
        <v>0</v>
      </c>
      <c r="N67" s="135">
        <f>O67*'cereal - util hum anim indus'!D449</f>
        <v>163109.76216216217</v>
      </c>
      <c r="O67" s="5">
        <v>186844</v>
      </c>
      <c r="P67" s="139">
        <f t="shared" si="4"/>
        <v>0.12702702702702701</v>
      </c>
      <c r="Q67" s="632"/>
    </row>
    <row r="68" spans="1:17" x14ac:dyDescent="0.3">
      <c r="A68" s="108" t="s">
        <v>66</v>
      </c>
      <c r="B68" s="135">
        <f>E68*F68</f>
        <v>144002.27590606574</v>
      </c>
      <c r="C68" s="135">
        <f t="shared" si="5"/>
        <v>1072597.8340939344</v>
      </c>
      <c r="D68" s="134">
        <f>0.01*E68</f>
        <v>12288.89</v>
      </c>
      <c r="E68" s="76">
        <v>1228889</v>
      </c>
      <c r="F68" s="139">
        <f>'Calcul R84'!F45</f>
        <v>0.11718086491625015</v>
      </c>
      <c r="G68" s="158"/>
      <c r="I68" s="65" t="s">
        <v>318</v>
      </c>
      <c r="J68" s="76">
        <v>116260</v>
      </c>
      <c r="L68" s="108">
        <f t="shared" si="3"/>
        <v>144002.27590606574</v>
      </c>
      <c r="M68" s="135">
        <f t="shared" si="6"/>
        <v>1072597.8340939344</v>
      </c>
      <c r="N68" s="134">
        <f>0.01*O68</f>
        <v>12288.89</v>
      </c>
      <c r="O68" s="5">
        <v>1228889</v>
      </c>
      <c r="P68" s="139">
        <f t="shared" si="4"/>
        <v>0.11718086491625015</v>
      </c>
      <c r="Q68" s="158"/>
    </row>
    <row r="69" spans="1:17" x14ac:dyDescent="0.3">
      <c r="A69" s="108" t="s">
        <v>67</v>
      </c>
      <c r="B69" s="108">
        <f>E69*F69</f>
        <v>559469.95000000007</v>
      </c>
      <c r="C69" s="135">
        <f t="shared" si="5"/>
        <v>275431.36</v>
      </c>
      <c r="D69" s="134">
        <f>0.03*E69</f>
        <v>25821.69</v>
      </c>
      <c r="E69" s="76">
        <v>860723</v>
      </c>
      <c r="F69" s="139">
        <f>'Calcul R84'!F46</f>
        <v>0.65</v>
      </c>
      <c r="G69" s="158"/>
      <c r="I69" s="65" t="s">
        <v>316</v>
      </c>
      <c r="J69" s="76">
        <f>28654223-SUM(J59:J68)</f>
        <v>1073915</v>
      </c>
      <c r="L69" s="108">
        <f t="shared" si="3"/>
        <v>559469.95000000007</v>
      </c>
      <c r="M69" s="135">
        <f t="shared" si="6"/>
        <v>275431.36</v>
      </c>
      <c r="N69" s="134">
        <f>0.03*O69</f>
        <v>25821.69</v>
      </c>
      <c r="O69" s="5">
        <v>860723</v>
      </c>
      <c r="P69" s="139">
        <f t="shared" si="4"/>
        <v>0.65000000000000013</v>
      </c>
      <c r="Q69" s="158"/>
    </row>
    <row r="70" spans="1:17" x14ac:dyDescent="0.3">
      <c r="A70" s="108" t="s">
        <v>85</v>
      </c>
      <c r="B70" s="108">
        <f>E70*F70</f>
        <v>85994.345205479462</v>
      </c>
      <c r="C70" s="135">
        <f t="shared" si="5"/>
        <v>38997.43561643835</v>
      </c>
      <c r="D70" s="135">
        <f>E70*'cereal - util hum anim indus'!D452</f>
        <v>57496.219178082189</v>
      </c>
      <c r="E70" s="76">
        <v>182488</v>
      </c>
      <c r="F70" s="139">
        <f>'Calcul R84'!F47</f>
        <v>0.47123287671232883</v>
      </c>
      <c r="G70" s="158"/>
      <c r="L70" s="108">
        <f t="shared" si="3"/>
        <v>85994.345205479462</v>
      </c>
      <c r="M70" s="135">
        <f t="shared" si="6"/>
        <v>38997.43561643835</v>
      </c>
      <c r="N70" s="135">
        <f>O70*'cereal - util hum anim indus'!D452</f>
        <v>57496.219178082189</v>
      </c>
      <c r="O70" s="5">
        <v>182488</v>
      </c>
      <c r="P70" s="139">
        <f t="shared" si="4"/>
        <v>0.47123287671232883</v>
      </c>
      <c r="Q70" s="158"/>
    </row>
    <row r="71" spans="1:17" x14ac:dyDescent="0.3">
      <c r="A71" s="108" t="s">
        <v>86</v>
      </c>
      <c r="B71" s="108">
        <f>E71*F71</f>
        <v>2891.3</v>
      </c>
      <c r="C71" s="134">
        <v>0</v>
      </c>
      <c r="D71" s="135">
        <f t="shared" ref="D71:D72" si="8">E71-B71</f>
        <v>26021.7</v>
      </c>
      <c r="E71" s="76">
        <v>28913</v>
      </c>
      <c r="F71" s="139">
        <f>'Calcul R84'!F48</f>
        <v>0.1</v>
      </c>
      <c r="G71" s="158"/>
      <c r="I71" s="90"/>
      <c r="J71">
        <f>E82/SUM(J76:J81)</f>
        <v>0.25305392091488865</v>
      </c>
      <c r="L71" s="108">
        <f t="shared" si="3"/>
        <v>2891.3</v>
      </c>
      <c r="M71" s="134">
        <v>0</v>
      </c>
      <c r="N71" s="135">
        <f t="shared" ref="N71:N72" si="9">O71-L71</f>
        <v>26021.7</v>
      </c>
      <c r="O71" s="134">
        <v>28913</v>
      </c>
      <c r="P71" s="139">
        <f t="shared" si="4"/>
        <v>0.1</v>
      </c>
      <c r="Q71" s="158"/>
    </row>
    <row r="72" spans="1:17" x14ac:dyDescent="0.3">
      <c r="A72" s="108" t="s">
        <v>87</v>
      </c>
      <c r="B72" s="108">
        <f>E72*F72</f>
        <v>2014</v>
      </c>
      <c r="C72" s="134">
        <v>0</v>
      </c>
      <c r="D72" s="135">
        <f t="shared" si="8"/>
        <v>8056</v>
      </c>
      <c r="E72" s="76">
        <v>10070</v>
      </c>
      <c r="F72" s="139">
        <f>'Calcul R84'!F49</f>
        <v>0.2</v>
      </c>
      <c r="G72" s="158"/>
      <c r="L72" s="108">
        <f t="shared" si="3"/>
        <v>2014</v>
      </c>
      <c r="M72" s="134">
        <v>0</v>
      </c>
      <c r="N72" s="135">
        <f t="shared" si="9"/>
        <v>8056</v>
      </c>
      <c r="O72" s="134">
        <v>10070</v>
      </c>
      <c r="P72" s="139">
        <f t="shared" si="4"/>
        <v>0.2</v>
      </c>
      <c r="Q72" s="158"/>
    </row>
    <row r="73" spans="1:17" x14ac:dyDescent="0.3">
      <c r="A73" s="108" t="s">
        <v>184</v>
      </c>
      <c r="B73" s="135">
        <f>E73*'cereal - util hum anim indus'!I456</f>
        <v>3958.546511627907</v>
      </c>
      <c r="C73" s="135">
        <f t="shared" si="5"/>
        <v>4750.2558139534904</v>
      </c>
      <c r="D73" s="135">
        <f>E73*'cereal - util hum anim indus'!D456</f>
        <v>59378.197674418603</v>
      </c>
      <c r="E73" s="76">
        <v>68087</v>
      </c>
      <c r="F73" s="139">
        <f t="shared" si="7"/>
        <v>5.8139534883720929E-2</v>
      </c>
      <c r="G73" s="625">
        <f>SUM(B73:B78)/SUM(E73:E78)</f>
        <v>0.22297690054411401</v>
      </c>
      <c r="L73" s="108">
        <f t="shared" si="3"/>
        <v>3958.546511627907</v>
      </c>
      <c r="M73" s="135">
        <f t="shared" si="6"/>
        <v>4750.2558139534904</v>
      </c>
      <c r="N73" s="135">
        <f>O73*'cereal - util hum anim indus'!D456</f>
        <v>59378.197674418603</v>
      </c>
      <c r="O73" s="134">
        <v>68087</v>
      </c>
      <c r="P73" s="139">
        <f t="shared" si="4"/>
        <v>5.8139534883720929E-2</v>
      </c>
      <c r="Q73" s="625">
        <f>SUM(L73:L78)/SUM(O73:O78)</f>
        <v>0.22297690054411401</v>
      </c>
    </row>
    <row r="74" spans="1:17" x14ac:dyDescent="0.3">
      <c r="A74" s="108" t="s">
        <v>185</v>
      </c>
      <c r="B74" s="135">
        <f>E74*'cereal - util hum anim indus'!I457</f>
        <v>330.6875</v>
      </c>
      <c r="C74" s="135">
        <f t="shared" si="5"/>
        <v>330.6875</v>
      </c>
      <c r="D74" s="135">
        <f>E74*'cereal - util hum anim indus'!D457</f>
        <v>4629.625</v>
      </c>
      <c r="E74" s="76">
        <v>5291</v>
      </c>
      <c r="F74" s="139">
        <f t="shared" si="7"/>
        <v>6.25E-2</v>
      </c>
      <c r="G74" s="626"/>
      <c r="L74" s="108">
        <f t="shared" si="3"/>
        <v>330.6875</v>
      </c>
      <c r="M74" s="135">
        <f t="shared" si="6"/>
        <v>330.6875</v>
      </c>
      <c r="N74" s="135">
        <f>O74*'cereal - util hum anim indus'!D457</f>
        <v>4629.625</v>
      </c>
      <c r="O74" s="134">
        <v>5291</v>
      </c>
      <c r="P74" s="139">
        <f t="shared" si="4"/>
        <v>6.25E-2</v>
      </c>
      <c r="Q74" s="626"/>
    </row>
    <row r="75" spans="1:17" x14ac:dyDescent="0.3">
      <c r="A75" s="108" t="s">
        <v>269</v>
      </c>
      <c r="B75" s="135">
        <f>E75*'cereal - util hum anim indus'!I459</f>
        <v>5223.9444444444443</v>
      </c>
      <c r="C75" s="135">
        <f t="shared" si="5"/>
        <v>533.05555555555566</v>
      </c>
      <c r="D75" s="135">
        <f>E75*'cereal - util hum anim indus'!D459</f>
        <v>0</v>
      </c>
      <c r="E75" s="76">
        <v>5757</v>
      </c>
      <c r="F75" s="139">
        <f t="shared" si="7"/>
        <v>0.90740740740740744</v>
      </c>
      <c r="G75" s="626"/>
      <c r="I75" s="65" t="s">
        <v>315</v>
      </c>
      <c r="J75" s="65" t="s">
        <v>314</v>
      </c>
      <c r="L75" s="108">
        <f t="shared" si="3"/>
        <v>5223.9444444444443</v>
      </c>
      <c r="M75" s="135">
        <f t="shared" si="6"/>
        <v>533.05555555555566</v>
      </c>
      <c r="N75" s="135">
        <f>O75*'cereal - util hum anim indus'!D459</f>
        <v>0</v>
      </c>
      <c r="O75" s="134">
        <f>5757</f>
        <v>5757</v>
      </c>
      <c r="P75" s="139">
        <f t="shared" si="4"/>
        <v>0.90740740740740744</v>
      </c>
      <c r="Q75" s="626"/>
    </row>
    <row r="76" spans="1:17" x14ac:dyDescent="0.3">
      <c r="A76" s="9" t="s">
        <v>268</v>
      </c>
      <c r="B76" s="117">
        <f>E76*'cereal - util hum anim indus'!I458</f>
        <v>28303.392857142855</v>
      </c>
      <c r="C76" s="135">
        <f t="shared" si="5"/>
        <v>514.60714285714494</v>
      </c>
      <c r="D76" s="9">
        <f>E76*'cereal - util hum anim indus'!D458</f>
        <v>0</v>
      </c>
      <c r="E76" s="76">
        <v>28818</v>
      </c>
      <c r="F76" s="139">
        <f t="shared" si="7"/>
        <v>0.9821428571428571</v>
      </c>
      <c r="G76" s="626"/>
      <c r="I76" s="65" t="s">
        <v>320</v>
      </c>
      <c r="J76" s="76">
        <f>26875163</f>
        <v>26875163</v>
      </c>
      <c r="L76" s="108">
        <f t="shared" si="3"/>
        <v>28303.392857142855</v>
      </c>
      <c r="M76" s="135">
        <f t="shared" si="6"/>
        <v>514.60714285714494</v>
      </c>
      <c r="N76" s="9">
        <f>O76*'cereal - util hum anim indus'!D458</f>
        <v>0</v>
      </c>
      <c r="O76" s="79">
        <v>28818</v>
      </c>
      <c r="P76" s="139">
        <f t="shared" si="4"/>
        <v>0.9821428571428571</v>
      </c>
      <c r="Q76" s="626"/>
    </row>
    <row r="77" spans="1:17" x14ac:dyDescent="0.3">
      <c r="A77" s="108" t="s">
        <v>303</v>
      </c>
      <c r="B77" s="135">
        <f>E77*'cereal - util hum anim indus'!I455</f>
        <v>13725.253283302063</v>
      </c>
      <c r="C77" s="135">
        <f t="shared" si="5"/>
        <v>9950.8086303939963</v>
      </c>
      <c r="D77" s="135">
        <f>E77*'cereal - util hum anim indus'!D455</f>
        <v>159212.93808630394</v>
      </c>
      <c r="E77" s="76">
        <v>182889</v>
      </c>
      <c r="F77" s="139">
        <f t="shared" si="7"/>
        <v>7.5046904315196991E-2</v>
      </c>
      <c r="G77" s="626"/>
      <c r="I77" s="65" t="s">
        <v>321</v>
      </c>
      <c r="J77" s="108">
        <f>SUM(J59:J69)-J76</f>
        <v>1779060</v>
      </c>
      <c r="L77" s="108">
        <f t="shared" si="3"/>
        <v>13725.253283302063</v>
      </c>
      <c r="M77" s="135">
        <f>O77-N77-L77</f>
        <v>9950.8086303939963</v>
      </c>
      <c r="N77" s="135">
        <f>O77*'cereal - util hum anim indus'!D455</f>
        <v>159212.93808630394</v>
      </c>
      <c r="O77" s="134">
        <v>182889</v>
      </c>
      <c r="P77" s="139">
        <f>L77/O77</f>
        <v>7.5046904315196991E-2</v>
      </c>
      <c r="Q77" s="626"/>
    </row>
    <row r="78" spans="1:17" x14ac:dyDescent="0.3">
      <c r="A78" s="108" t="s">
        <v>40</v>
      </c>
      <c r="B78" s="108">
        <f>E78*F78</f>
        <v>17229.38</v>
      </c>
      <c r="C78" s="135">
        <f t="shared" si="5"/>
        <v>351.61999999999898</v>
      </c>
      <c r="D78" s="133">
        <v>0</v>
      </c>
      <c r="E78" s="76">
        <v>17581</v>
      </c>
      <c r="F78" s="310">
        <v>0.98</v>
      </c>
      <c r="G78" s="627"/>
      <c r="I78" s="65" t="s">
        <v>313</v>
      </c>
      <c r="J78" s="76">
        <v>26303984</v>
      </c>
      <c r="L78" s="108">
        <f t="shared" si="3"/>
        <v>17229.38</v>
      </c>
      <c r="M78" s="135">
        <f>O78-N78-L78</f>
        <v>351.61999999999898</v>
      </c>
      <c r="N78" s="133">
        <v>0</v>
      </c>
      <c r="O78" s="133">
        <v>17581</v>
      </c>
      <c r="P78" s="139">
        <f>L78/O78</f>
        <v>0.98000000000000009</v>
      </c>
      <c r="Q78" s="627"/>
    </row>
    <row r="79" spans="1:17" x14ac:dyDescent="0.3">
      <c r="A79" s="108" t="s">
        <v>88</v>
      </c>
      <c r="B79" s="108">
        <f>E79*F79</f>
        <v>477423</v>
      </c>
      <c r="C79" s="135">
        <f>E79-D79-B79</f>
        <v>0</v>
      </c>
      <c r="D79" s="135">
        <f>E79-B79</f>
        <v>0</v>
      </c>
      <c r="E79" s="133">
        <v>477423</v>
      </c>
      <c r="F79" s="139">
        <f>'Calcul R84'!F56</f>
        <v>1</v>
      </c>
      <c r="G79" s="232"/>
      <c r="I79" s="65" t="s">
        <v>322</v>
      </c>
      <c r="J79" s="76">
        <v>1628112</v>
      </c>
      <c r="L79" s="108"/>
      <c r="M79" s="135"/>
      <c r="N79" s="133"/>
      <c r="O79" s="133"/>
      <c r="P79" s="139"/>
      <c r="Q79" s="212"/>
    </row>
    <row r="80" spans="1:17" x14ac:dyDescent="0.3">
      <c r="A80" s="108" t="s">
        <v>89</v>
      </c>
      <c r="B80" s="108">
        <f>E80*F80</f>
        <v>218942</v>
      </c>
      <c r="C80" s="135">
        <f>E80-D80-B80</f>
        <v>0</v>
      </c>
      <c r="D80" s="135">
        <f>E80-B80</f>
        <v>0</v>
      </c>
      <c r="E80" s="133">
        <v>218942</v>
      </c>
      <c r="F80" s="139">
        <f>'Calcul R84'!F57</f>
        <v>1</v>
      </c>
      <c r="G80" s="232"/>
      <c r="I80" s="65" t="s">
        <v>323</v>
      </c>
      <c r="J80" s="76">
        <v>5161695</v>
      </c>
      <c r="L80" s="108"/>
      <c r="M80" s="135"/>
      <c r="N80" s="133"/>
      <c r="O80" s="133"/>
      <c r="P80" s="139"/>
      <c r="Q80" s="212"/>
    </row>
    <row r="81" spans="1:32" x14ac:dyDescent="0.3">
      <c r="A81" s="108" t="s">
        <v>311</v>
      </c>
      <c r="B81" s="108">
        <f>E81*F81</f>
        <v>0</v>
      </c>
      <c r="C81" s="135">
        <f t="shared" si="5"/>
        <v>0</v>
      </c>
      <c r="D81" s="135">
        <f t="shared" ref="D81" si="10">E81-B81</f>
        <v>3861253</v>
      </c>
      <c r="E81" s="133">
        <v>3861253</v>
      </c>
      <c r="F81" s="139">
        <f>'Calcul R84'!F58</f>
        <v>0</v>
      </c>
      <c r="G81" s="158"/>
      <c r="I81" s="65" t="s">
        <v>316</v>
      </c>
      <c r="J81" s="76">
        <v>2085417</v>
      </c>
      <c r="L81" s="72"/>
      <c r="M81" s="214"/>
      <c r="N81" s="72"/>
      <c r="O81" s="72"/>
      <c r="P81" s="215"/>
    </row>
    <row r="82" spans="1:32" x14ac:dyDescent="0.3">
      <c r="A82" s="109" t="s">
        <v>304</v>
      </c>
      <c r="B82" s="109">
        <f>SUM(B59:B81)</f>
        <v>3708490.4923879993</v>
      </c>
      <c r="C82" s="109">
        <f>SUM(C59:C81)</f>
        <v>2811953.6338359821</v>
      </c>
      <c r="D82" s="109">
        <f>SUM(D59:D81)</f>
        <v>9632855.8737760186</v>
      </c>
      <c r="E82" s="109">
        <f>SUM(E59:E81)</f>
        <v>16153300</v>
      </c>
      <c r="F82" s="139">
        <f>B82/E82</f>
        <v>0.22958098298106264</v>
      </c>
      <c r="G82" s="103">
        <f>E82/SUM(J76:J81)</f>
        <v>0.25305392091488865</v>
      </c>
      <c r="H82" s="216"/>
      <c r="I82" s="232"/>
      <c r="L82" s="85" t="s">
        <v>275</v>
      </c>
      <c r="M82" s="124"/>
      <c r="N82" s="124"/>
      <c r="O82" s="124"/>
      <c r="P82" s="184"/>
    </row>
    <row r="83" spans="1:32" x14ac:dyDescent="0.3">
      <c r="A83" s="108" t="s">
        <v>324</v>
      </c>
      <c r="B83" s="108">
        <f>E83*F83</f>
        <v>0</v>
      </c>
      <c r="C83" s="135">
        <f>E83-D83-B83</f>
        <v>0</v>
      </c>
      <c r="D83" s="135">
        <f>E83-B83</f>
        <v>10439684</v>
      </c>
      <c r="E83" s="133">
        <v>10439684</v>
      </c>
      <c r="F83" s="139">
        <f>'Calcul R84'!F60</f>
        <v>0</v>
      </c>
      <c r="G83" s="158"/>
      <c r="I83" s="115">
        <f>E83/E84</f>
        <v>0.39257286809182451</v>
      </c>
      <c r="L83" s="124"/>
      <c r="M83" s="124"/>
      <c r="N83" s="124"/>
      <c r="O83" s="124"/>
      <c r="P83" s="184"/>
    </row>
    <row r="84" spans="1:32" x14ac:dyDescent="0.3">
      <c r="A84" s="109" t="s">
        <v>90</v>
      </c>
      <c r="B84" s="109">
        <f>SUM(B82:B83)</f>
        <v>3708490.4923879993</v>
      </c>
      <c r="C84" s="109">
        <f>SUM(C82:C83)</f>
        <v>2811953.6338359821</v>
      </c>
      <c r="D84" s="109">
        <f>SUM(D82:D83)</f>
        <v>20072539.873776019</v>
      </c>
      <c r="E84" s="109">
        <f>SUM(E82:E83)</f>
        <v>26592984</v>
      </c>
      <c r="F84" s="213">
        <f>B84/E84</f>
        <v>0.13945371803284654</v>
      </c>
      <c r="G84" s="285">
        <f>B84/E84</f>
        <v>0.13945371803284654</v>
      </c>
      <c r="H84" s="255">
        <f>C84/E84</f>
        <v>0.10574043265832755</v>
      </c>
      <c r="I84" s="255">
        <f>D84/E84</f>
        <v>0.75480584930882588</v>
      </c>
      <c r="L84" s="124"/>
      <c r="M84" s="124"/>
      <c r="N84" s="124"/>
      <c r="O84" s="124"/>
      <c r="P84" s="184"/>
    </row>
    <row r="85" spans="1:32" x14ac:dyDescent="0.3">
      <c r="A85" s="85" t="s">
        <v>275</v>
      </c>
      <c r="G85" s="158"/>
      <c r="L85" s="124"/>
      <c r="M85" s="124"/>
      <c r="N85" s="124"/>
      <c r="O85" s="124"/>
      <c r="P85" s="184"/>
      <c r="Q85" s="1"/>
      <c r="Z85" s="1"/>
      <c r="AA85" s="1"/>
    </row>
    <row r="86" spans="1:32" x14ac:dyDescent="0.3">
      <c r="A86" s="85"/>
      <c r="B86" s="179"/>
      <c r="D86" s="75"/>
      <c r="F86" s="75"/>
      <c r="G86" s="29"/>
      <c r="H86" s="157"/>
      <c r="I86" s="85"/>
      <c r="J86" s="158"/>
      <c r="K86" s="158"/>
      <c r="L86" s="158"/>
      <c r="M86" s="158"/>
      <c r="N86" s="158"/>
      <c r="O86" s="90"/>
      <c r="P86" s="158"/>
      <c r="Q86" s="158"/>
      <c r="R86" s="158"/>
      <c r="AF86" s="158"/>
    </row>
    <row r="87" spans="1:32" x14ac:dyDescent="0.3">
      <c r="A87" s="85"/>
      <c r="B87" s="179"/>
      <c r="D87" s="75"/>
      <c r="F87" s="75"/>
      <c r="G87" s="29"/>
      <c r="H87" s="157"/>
      <c r="I87" s="85"/>
      <c r="J87" s="158"/>
      <c r="K87" s="158"/>
      <c r="L87" s="158"/>
      <c r="M87" s="158"/>
      <c r="N87" s="158"/>
      <c r="O87" s="90"/>
      <c r="P87" s="158"/>
      <c r="Q87" s="158"/>
      <c r="R87" s="158"/>
      <c r="AF87" s="158"/>
    </row>
    <row r="88" spans="1:32" x14ac:dyDescent="0.3">
      <c r="A88" s="85"/>
      <c r="B88" s="179"/>
      <c r="D88" s="75"/>
      <c r="F88" s="75"/>
      <c r="G88" s="29"/>
      <c r="H88" s="157"/>
      <c r="I88" s="85"/>
      <c r="J88" s="158"/>
      <c r="K88" s="158"/>
      <c r="L88" s="158"/>
      <c r="M88" s="158"/>
      <c r="N88" s="158"/>
      <c r="O88" s="90"/>
      <c r="P88" s="158"/>
      <c r="Q88" s="158"/>
      <c r="R88" s="158"/>
      <c r="AF88" s="158"/>
    </row>
    <row r="89" spans="1:32" x14ac:dyDescent="0.3">
      <c r="A89" s="85"/>
      <c r="B89" s="179"/>
      <c r="D89" s="75"/>
      <c r="F89" s="75"/>
      <c r="G89" s="29"/>
      <c r="H89" s="157"/>
      <c r="I89" s="85"/>
      <c r="J89" s="158"/>
      <c r="K89" s="158"/>
      <c r="L89" s="158"/>
      <c r="M89" s="158"/>
      <c r="N89" s="158"/>
      <c r="O89" s="90"/>
      <c r="P89" s="158"/>
      <c r="Q89" s="158"/>
      <c r="R89" s="158"/>
      <c r="AF89" s="158"/>
    </row>
    <row r="90" spans="1:32" x14ac:dyDescent="0.3">
      <c r="A90" s="85"/>
      <c r="B90" s="179"/>
      <c r="D90" s="75"/>
      <c r="F90" s="75"/>
      <c r="G90" s="29"/>
      <c r="H90" s="157"/>
      <c r="I90" s="85"/>
      <c r="J90" s="158"/>
      <c r="K90" s="158"/>
      <c r="L90" s="158"/>
      <c r="M90" s="158"/>
      <c r="N90" s="158"/>
      <c r="O90" s="90"/>
      <c r="P90" s="158"/>
      <c r="Q90" s="158"/>
      <c r="R90" s="158"/>
      <c r="AF90" s="158"/>
    </row>
    <row r="91" spans="1:32" x14ac:dyDescent="0.3">
      <c r="A91" s="85"/>
      <c r="B91" s="179"/>
      <c r="D91" s="75"/>
      <c r="F91" s="75"/>
      <c r="G91" s="29"/>
      <c r="H91" s="157"/>
      <c r="I91" s="85"/>
      <c r="J91" s="158"/>
      <c r="K91" s="158"/>
      <c r="L91" s="158"/>
      <c r="M91" s="158"/>
      <c r="N91" s="158"/>
      <c r="O91" s="90"/>
      <c r="P91" s="158"/>
      <c r="Q91" s="158"/>
      <c r="R91" s="158"/>
      <c r="AF91" s="158"/>
    </row>
    <row r="92" spans="1:32" x14ac:dyDescent="0.3">
      <c r="A92" s="85"/>
      <c r="B92" s="179"/>
      <c r="D92" s="75"/>
      <c r="F92" s="75"/>
      <c r="G92" s="29"/>
      <c r="H92" s="157"/>
      <c r="I92" s="85"/>
      <c r="J92" s="158"/>
      <c r="K92" s="158"/>
      <c r="L92" s="158"/>
      <c r="M92" s="158"/>
      <c r="N92" s="158"/>
      <c r="O92" s="90"/>
      <c r="P92" s="158"/>
      <c r="Q92" s="158"/>
      <c r="R92" s="158"/>
      <c r="AF92" s="158"/>
    </row>
    <row r="93" spans="1:32" x14ac:dyDescent="0.3">
      <c r="A93" s="85"/>
      <c r="B93" s="179"/>
      <c r="D93" s="75"/>
      <c r="F93" s="75"/>
      <c r="G93" s="29"/>
      <c r="H93" s="157"/>
      <c r="I93" s="85"/>
      <c r="J93" s="158"/>
      <c r="K93" s="158"/>
      <c r="L93" s="158"/>
      <c r="M93" s="158"/>
      <c r="N93" s="158"/>
      <c r="O93" s="90"/>
      <c r="P93" s="158"/>
      <c r="Q93" s="158"/>
      <c r="R93" s="158"/>
      <c r="AF93" s="158"/>
    </row>
    <row r="94" spans="1:32" x14ac:dyDescent="0.3">
      <c r="A94" s="85"/>
      <c r="B94" s="179"/>
      <c r="D94" s="75"/>
      <c r="F94" s="75"/>
      <c r="G94" s="29"/>
      <c r="H94" s="157"/>
      <c r="I94" s="85"/>
      <c r="J94" s="158"/>
      <c r="K94" s="158"/>
      <c r="L94" s="158"/>
      <c r="M94" s="158"/>
      <c r="N94" s="158"/>
      <c r="O94" s="90"/>
      <c r="P94" s="158"/>
      <c r="Q94" s="158"/>
      <c r="R94" s="158"/>
      <c r="AF94" s="158"/>
    </row>
    <row r="95" spans="1:32" x14ac:dyDescent="0.3">
      <c r="A95" s="85"/>
      <c r="B95" s="179"/>
      <c r="D95" s="75"/>
      <c r="F95" s="75"/>
      <c r="G95" s="29"/>
      <c r="H95" s="157"/>
      <c r="I95" s="85"/>
      <c r="J95" s="158"/>
      <c r="K95" s="158"/>
      <c r="L95" s="158"/>
      <c r="M95" s="158"/>
      <c r="N95" s="158"/>
      <c r="O95" s="90"/>
      <c r="P95" s="158"/>
      <c r="Q95" s="158"/>
      <c r="R95" s="158"/>
      <c r="AF95" s="158"/>
    </row>
    <row r="96" spans="1:32" x14ac:dyDescent="0.3">
      <c r="A96" s="85"/>
      <c r="B96" s="179"/>
      <c r="D96" s="75"/>
      <c r="F96" s="75"/>
      <c r="G96" s="29"/>
      <c r="H96" s="157"/>
      <c r="I96" s="85"/>
      <c r="J96" s="158"/>
      <c r="K96" s="158"/>
      <c r="L96" s="158"/>
      <c r="M96" s="158"/>
      <c r="N96" s="158"/>
      <c r="O96" s="90"/>
      <c r="P96" s="158"/>
      <c r="Q96" s="158"/>
      <c r="R96" s="158"/>
      <c r="AF96" s="158"/>
    </row>
    <row r="97" spans="1:32" x14ac:dyDescent="0.3">
      <c r="A97" s="85"/>
      <c r="B97" s="179"/>
      <c r="D97" s="75"/>
      <c r="F97" s="75"/>
      <c r="G97" s="29"/>
      <c r="H97" s="157"/>
      <c r="I97" s="85"/>
      <c r="J97" s="158"/>
      <c r="K97" s="158"/>
      <c r="L97" s="158"/>
      <c r="M97" s="158"/>
      <c r="N97" s="158"/>
      <c r="O97" s="90"/>
      <c r="P97" s="158"/>
      <c r="Q97" s="158"/>
      <c r="R97" s="158"/>
      <c r="AF97" s="158"/>
    </row>
    <row r="98" spans="1:32" x14ac:dyDescent="0.3">
      <c r="A98" s="85"/>
      <c r="B98" s="179"/>
      <c r="D98" s="75"/>
      <c r="F98" s="75"/>
      <c r="G98" s="29"/>
      <c r="H98" s="157"/>
      <c r="I98" s="85"/>
      <c r="J98" s="158"/>
      <c r="K98" s="158"/>
      <c r="L98" s="158"/>
      <c r="M98" s="158"/>
      <c r="N98" s="158"/>
      <c r="O98" s="90"/>
      <c r="P98" s="158"/>
      <c r="Q98" s="158"/>
      <c r="R98" s="158"/>
      <c r="AF98" s="158"/>
    </row>
    <row r="99" spans="1:32" x14ac:dyDescent="0.3">
      <c r="A99" s="85"/>
      <c r="B99" s="179"/>
      <c r="D99" s="75"/>
      <c r="F99" s="75"/>
      <c r="G99" s="29"/>
      <c r="H99" s="157"/>
      <c r="I99" s="85"/>
      <c r="J99" s="158"/>
      <c r="K99" s="158"/>
      <c r="L99" s="158"/>
      <c r="M99" s="158"/>
      <c r="N99" s="158"/>
      <c r="O99" s="90"/>
      <c r="P99" s="158"/>
      <c r="Q99" s="158"/>
      <c r="R99" s="158"/>
      <c r="AF99" s="158"/>
    </row>
    <row r="100" spans="1:32" x14ac:dyDescent="0.3">
      <c r="A100" s="85"/>
      <c r="B100" s="179"/>
      <c r="D100" s="75"/>
      <c r="F100" s="75"/>
      <c r="G100" s="29"/>
      <c r="H100" s="157"/>
      <c r="I100" s="85"/>
      <c r="J100" s="158"/>
      <c r="K100" s="158"/>
      <c r="L100" s="158"/>
      <c r="M100" s="158"/>
      <c r="N100" s="158"/>
      <c r="O100" s="90"/>
      <c r="P100" s="158"/>
      <c r="Q100" s="158"/>
      <c r="R100" s="158"/>
      <c r="AF100" s="158"/>
    </row>
    <row r="101" spans="1:32" x14ac:dyDescent="0.3">
      <c r="A101" s="85"/>
      <c r="B101" s="179"/>
      <c r="D101" s="75"/>
      <c r="F101" s="75"/>
      <c r="G101" s="29"/>
      <c r="H101" s="157"/>
      <c r="I101" s="85"/>
      <c r="J101" s="158"/>
      <c r="K101" s="158"/>
      <c r="L101" s="158"/>
      <c r="M101" s="158"/>
      <c r="N101" s="158"/>
      <c r="O101" s="90"/>
      <c r="P101" s="158"/>
      <c r="Q101" s="158"/>
      <c r="R101" s="158"/>
      <c r="AF101" s="158"/>
    </row>
    <row r="102" spans="1:32" x14ac:dyDescent="0.3">
      <c r="Q102" s="183"/>
      <c r="R102" s="183"/>
      <c r="S102" s="202"/>
      <c r="T102" s="122"/>
      <c r="U102" s="157"/>
      <c r="Y102" t="s">
        <v>607</v>
      </c>
      <c r="Z102" t="s">
        <v>607</v>
      </c>
    </row>
    <row r="103" spans="1:32" x14ac:dyDescent="0.3">
      <c r="L103" s="7"/>
      <c r="M103" s="7"/>
      <c r="N103" s="7"/>
      <c r="O103" s="7"/>
      <c r="T103" s="157"/>
      <c r="U103" s="157"/>
      <c r="V103" s="1"/>
      <c r="W103" s="183"/>
      <c r="X103" s="183"/>
      <c r="Y103" s="91" t="s">
        <v>141</v>
      </c>
      <c r="Z103" s="2" t="s">
        <v>141</v>
      </c>
    </row>
    <row r="104" spans="1:32" s="1" customFormat="1" x14ac:dyDescent="0.3">
      <c r="A104" s="362" t="s">
        <v>423</v>
      </c>
      <c r="B104" s="416"/>
      <c r="C104" s="23">
        <v>2010</v>
      </c>
      <c r="D104" s="70">
        <v>2011</v>
      </c>
      <c r="E104" s="70">
        <v>2012</v>
      </c>
      <c r="F104" s="70">
        <v>2013</v>
      </c>
      <c r="G104" s="70">
        <v>2014</v>
      </c>
      <c r="H104" s="70">
        <v>2015</v>
      </c>
      <c r="I104" s="70">
        <v>2016</v>
      </c>
      <c r="J104" s="70">
        <v>2017</v>
      </c>
      <c r="K104" s="70">
        <v>2018</v>
      </c>
      <c r="L104" s="70">
        <v>2019</v>
      </c>
      <c r="M104" s="70">
        <v>2020</v>
      </c>
      <c r="N104" s="70">
        <v>2021</v>
      </c>
      <c r="O104" s="70">
        <v>2022</v>
      </c>
      <c r="P104" s="70">
        <v>2023</v>
      </c>
      <c r="Q104" s="70">
        <v>2024</v>
      </c>
      <c r="R104" s="70">
        <v>2025</v>
      </c>
      <c r="S104" s="70">
        <v>2026</v>
      </c>
      <c r="T104" s="70">
        <v>2027</v>
      </c>
      <c r="U104" s="70">
        <v>2028</v>
      </c>
      <c r="V104" s="70">
        <v>2029</v>
      </c>
      <c r="W104" s="70" t="s">
        <v>380</v>
      </c>
      <c r="X104" s="367" t="s">
        <v>325</v>
      </c>
      <c r="Y104" s="368" t="s">
        <v>212</v>
      </c>
      <c r="Z104" s="11">
        <v>2030</v>
      </c>
    </row>
    <row r="105" spans="1:32" s="1" customFormat="1" x14ac:dyDescent="0.3">
      <c r="A105" s="10" t="s">
        <v>294</v>
      </c>
      <c r="B105" s="416" t="s">
        <v>0</v>
      </c>
      <c r="C105" s="418">
        <v>62765235</v>
      </c>
      <c r="D105" s="244">
        <v>63070344</v>
      </c>
      <c r="E105" s="244">
        <v>63375971</v>
      </c>
      <c r="F105" s="244">
        <v>63697865</v>
      </c>
      <c r="G105" s="244">
        <v>64027958</v>
      </c>
      <c r="H105" s="244">
        <v>64300821</v>
      </c>
      <c r="I105" s="244">
        <v>64468792</v>
      </c>
      <c r="J105" s="244">
        <v>64639133</v>
      </c>
      <c r="K105" s="244">
        <v>64844037</v>
      </c>
      <c r="L105" s="244">
        <v>65096768</v>
      </c>
      <c r="M105" s="244">
        <v>65269154</v>
      </c>
      <c r="N105" s="244">
        <v>65505213</v>
      </c>
      <c r="O105" s="244">
        <v>65721831</v>
      </c>
      <c r="P105" s="237">
        <v>65925961</v>
      </c>
      <c r="Q105" s="441">
        <v>66142961</v>
      </c>
      <c r="R105" s="436"/>
      <c r="S105" s="436"/>
      <c r="T105" s="437"/>
      <c r="U105" s="437"/>
      <c r="V105" s="436"/>
      <c r="W105" s="237">
        <f>1.0127*P105</f>
        <v>66763220.704699993</v>
      </c>
      <c r="X105" s="438">
        <f>W105</f>
        <v>66763220.704699993</v>
      </c>
      <c r="Y105" s="412"/>
      <c r="Z105" s="105" t="s">
        <v>62</v>
      </c>
    </row>
    <row r="106" spans="1:32" s="1" customFormat="1" x14ac:dyDescent="0.3">
      <c r="A106" s="22"/>
      <c r="B106" s="71" t="s">
        <v>392</v>
      </c>
      <c r="C106" s="418">
        <v>4898435</v>
      </c>
      <c r="D106" s="244">
        <v>4991377</v>
      </c>
      <c r="E106" s="244">
        <v>4862161</v>
      </c>
      <c r="F106" s="244">
        <v>4983065</v>
      </c>
      <c r="G106" s="244">
        <v>5013330</v>
      </c>
      <c r="H106" s="244">
        <v>5163395</v>
      </c>
      <c r="I106" s="244">
        <v>5139812</v>
      </c>
      <c r="J106" s="244">
        <v>4962755</v>
      </c>
      <c r="K106" s="244">
        <v>4880728</v>
      </c>
      <c r="L106" s="244">
        <v>4998938</v>
      </c>
      <c r="M106" s="244">
        <v>4267497</v>
      </c>
      <c r="N106" s="244">
        <v>4982506</v>
      </c>
      <c r="O106" s="244">
        <v>4696897</v>
      </c>
      <c r="P106" s="237">
        <v>4755717</v>
      </c>
      <c r="Q106" s="237"/>
      <c r="R106" s="436"/>
      <c r="S106" s="436"/>
      <c r="T106" s="437"/>
      <c r="U106" s="437"/>
      <c r="V106" s="436"/>
      <c r="W106" s="247">
        <f>AVERAGE(N106:P106)</f>
        <v>4811706.666666667</v>
      </c>
      <c r="X106" s="438">
        <f>W106</f>
        <v>4811706.666666667</v>
      </c>
      <c r="Y106" s="17"/>
      <c r="Z106" s="410"/>
    </row>
    <row r="107" spans="1:32" s="3" customFormat="1" x14ac:dyDescent="0.3">
      <c r="A107" s="16"/>
      <c r="B107" s="47" t="s">
        <v>139</v>
      </c>
      <c r="C107" s="58">
        <f t="shared" ref="C107:V107" si="11">C106*$F$59</f>
        <v>1798139.0540090939</v>
      </c>
      <c r="D107" s="53">
        <f t="shared" si="11"/>
        <v>1832256.6119551957</v>
      </c>
      <c r="E107" s="53">
        <f t="shared" si="11"/>
        <v>1784823.4346234889</v>
      </c>
      <c r="F107" s="53">
        <f t="shared" si="11"/>
        <v>1829205.4064544749</v>
      </c>
      <c r="G107" s="53">
        <f t="shared" si="11"/>
        <v>1840315.2157036709</v>
      </c>
      <c r="H107" s="53">
        <f t="shared" si="11"/>
        <v>1895401.7356105135</v>
      </c>
      <c r="I107" s="53">
        <f t="shared" si="11"/>
        <v>1886744.7842963291</v>
      </c>
      <c r="J107" s="53">
        <f t="shared" si="11"/>
        <v>1821749.9223688589</v>
      </c>
      <c r="K107" s="53">
        <f t="shared" si="11"/>
        <v>1791639.0906066319</v>
      </c>
      <c r="L107" s="53">
        <f t="shared" si="11"/>
        <v>1835032.1370744151</v>
      </c>
      <c r="M107" s="53">
        <f t="shared" si="11"/>
        <v>1566531.5592769214</v>
      </c>
      <c r="N107" s="53">
        <f t="shared" si="11"/>
        <v>1829000.2062770324</v>
      </c>
      <c r="O107" s="53">
        <f t="shared" si="11"/>
        <v>1724157.598979705</v>
      </c>
      <c r="P107" s="53">
        <f t="shared" si="11"/>
        <v>1745749.5031606965</v>
      </c>
      <c r="Q107" s="53">
        <f t="shared" si="11"/>
        <v>0</v>
      </c>
      <c r="R107" s="53">
        <f t="shared" si="11"/>
        <v>0</v>
      </c>
      <c r="S107" s="53">
        <f t="shared" si="11"/>
        <v>0</v>
      </c>
      <c r="T107" s="53">
        <f t="shared" si="11"/>
        <v>0</v>
      </c>
      <c r="U107" s="53">
        <f t="shared" si="11"/>
        <v>0</v>
      </c>
      <c r="V107" s="53">
        <f t="shared" si="11"/>
        <v>0</v>
      </c>
      <c r="W107" s="47">
        <f>AVERAGE(N107:P107)</f>
        <v>1766302.4361391447</v>
      </c>
      <c r="X107" s="17">
        <f>W107</f>
        <v>1766302.4361391447</v>
      </c>
      <c r="Y107" s="17"/>
      <c r="Z107" s="12"/>
    </row>
    <row r="108" spans="1:32" s="4" customFormat="1" x14ac:dyDescent="0.3">
      <c r="A108" s="14"/>
      <c r="B108" s="48" t="s">
        <v>2</v>
      </c>
      <c r="C108" s="235">
        <v>7.24</v>
      </c>
      <c r="D108" s="236">
        <v>6.81</v>
      </c>
      <c r="E108" s="236">
        <v>7.3</v>
      </c>
      <c r="F108" s="236">
        <v>7.4</v>
      </c>
      <c r="G108" s="236">
        <v>7.48</v>
      </c>
      <c r="H108" s="236">
        <v>7.94</v>
      </c>
      <c r="I108" s="236">
        <v>5.37</v>
      </c>
      <c r="J108" s="236">
        <v>7.37</v>
      </c>
      <c r="K108" s="236">
        <v>6.98</v>
      </c>
      <c r="L108" s="236">
        <v>7.91</v>
      </c>
      <c r="M108" s="236">
        <v>6.84</v>
      </c>
      <c r="N108" s="236">
        <v>7.1</v>
      </c>
      <c r="O108" s="236">
        <v>7.17</v>
      </c>
      <c r="P108" s="236">
        <v>7.37</v>
      </c>
      <c r="Q108" s="185"/>
      <c r="R108" s="185"/>
      <c r="S108" s="101"/>
      <c r="T108" s="123"/>
      <c r="U108" s="123"/>
      <c r="V108" s="101"/>
      <c r="W108" s="92">
        <f>AVERAGE(L108:P108)*(1+'Hypothèses production'!B2)</f>
        <v>7.2780000000000005</v>
      </c>
      <c r="X108" s="208">
        <f>W108</f>
        <v>7.2780000000000005</v>
      </c>
      <c r="Y108" s="15"/>
      <c r="Z108" s="14"/>
    </row>
    <row r="109" spans="1:32" s="3" customFormat="1" x14ac:dyDescent="0.3">
      <c r="A109" s="16" t="s">
        <v>1</v>
      </c>
      <c r="B109" s="47" t="s">
        <v>138</v>
      </c>
      <c r="C109" s="16">
        <f>C108*C107</f>
        <v>13018526.751025841</v>
      </c>
      <c r="D109" s="47">
        <f t="shared" ref="D109:P109" si="12">D108*D107</f>
        <v>12477667.527414883</v>
      </c>
      <c r="E109" s="47">
        <f t="shared" si="12"/>
        <v>13029211.072751468</v>
      </c>
      <c r="F109" s="47">
        <f t="shared" si="12"/>
        <v>13536120.007763116</v>
      </c>
      <c r="G109" s="47">
        <f t="shared" si="12"/>
        <v>13765557.813463459</v>
      </c>
      <c r="H109" s="47">
        <f t="shared" si="12"/>
        <v>15049489.780747477</v>
      </c>
      <c r="I109" s="47">
        <f t="shared" si="12"/>
        <v>10131819.491671288</v>
      </c>
      <c r="J109" s="47">
        <f t="shared" si="12"/>
        <v>13426296.92785849</v>
      </c>
      <c r="K109" s="47">
        <f t="shared" si="12"/>
        <v>12505640.852434292</v>
      </c>
      <c r="L109" s="47">
        <f t="shared" si="12"/>
        <v>14515104.204258624</v>
      </c>
      <c r="M109" s="47">
        <f t="shared" si="12"/>
        <v>10715075.865454143</v>
      </c>
      <c r="N109" s="47">
        <f t="shared" si="12"/>
        <v>12985901.464566929</v>
      </c>
      <c r="O109" s="47">
        <f t="shared" si="12"/>
        <v>12362209.984684484</v>
      </c>
      <c r="P109" s="47">
        <f t="shared" si="12"/>
        <v>12866173.838294333</v>
      </c>
      <c r="Q109" s="47"/>
      <c r="R109" s="47"/>
      <c r="S109" s="47"/>
      <c r="T109" s="47"/>
      <c r="U109" s="92"/>
      <c r="V109" s="47"/>
      <c r="W109" s="47">
        <f>W108*W107</f>
        <v>12855149.130220696</v>
      </c>
      <c r="X109" s="17">
        <f>X108*X107</f>
        <v>12855149.130220696</v>
      </c>
      <c r="Y109" s="17"/>
      <c r="Z109" s="100"/>
    </row>
    <row r="110" spans="1:32" s="4" customFormat="1" x14ac:dyDescent="0.3">
      <c r="A110" s="14"/>
      <c r="B110" s="48" t="s">
        <v>430</v>
      </c>
      <c r="C110" s="20">
        <f>'Calcul R84'!C3</f>
        <v>92.9</v>
      </c>
      <c r="D110" s="49">
        <f>'Calcul R84'!D3</f>
        <v>92.6</v>
      </c>
      <c r="E110" s="49">
        <f>'Calcul R84'!E3</f>
        <v>91.9</v>
      </c>
      <c r="F110" s="49">
        <f>'Calcul R84'!F3</f>
        <v>91.4</v>
      </c>
      <c r="G110" s="49">
        <f>'Calcul R84'!G3</f>
        <v>93.9</v>
      </c>
      <c r="H110" s="49">
        <f>'Calcul R84'!H3</f>
        <v>90.9</v>
      </c>
      <c r="I110" s="49">
        <f>'Calcul R84'!I3</f>
        <v>90.7</v>
      </c>
      <c r="J110" s="49">
        <f>'Calcul R84'!J3</f>
        <v>91.6</v>
      </c>
      <c r="K110" s="49">
        <f>'Calcul R84'!K3</f>
        <v>90.3</v>
      </c>
      <c r="L110" s="49">
        <f>'Calcul R84'!L3</f>
        <v>89.7</v>
      </c>
      <c r="M110" s="49">
        <f>'Calcul R84'!M3</f>
        <v>89.7</v>
      </c>
      <c r="N110" s="49">
        <f>'Calcul R84'!N3</f>
        <v>92.8</v>
      </c>
      <c r="O110" s="49">
        <f>'Calcul R84'!O3</f>
        <v>92</v>
      </c>
      <c r="P110" s="49">
        <f>'Calcul R84'!P3</f>
        <v>91.875</v>
      </c>
      <c r="Q110" s="49">
        <f>'Calcul R84'!Q3</f>
        <v>0</v>
      </c>
      <c r="R110" s="49">
        <f>'Calcul R84'!R3</f>
        <v>0</v>
      </c>
      <c r="S110" s="49">
        <f>'Calcul R84'!S3</f>
        <v>0</v>
      </c>
      <c r="T110" s="49">
        <f>'Calcul R84'!T3</f>
        <v>0</v>
      </c>
      <c r="U110" s="49">
        <f>'Calcul R84'!U3</f>
        <v>0</v>
      </c>
      <c r="V110" s="49">
        <f>'Calcul R84'!V3</f>
        <v>0</v>
      </c>
      <c r="W110" s="49">
        <f>'Calcul R84'!W3</f>
        <v>91</v>
      </c>
      <c r="X110" s="21">
        <f>'Calcul R84'!X3</f>
        <v>95.55</v>
      </c>
      <c r="Y110" s="15"/>
      <c r="Z110" s="14"/>
    </row>
    <row r="111" spans="1:32" s="3" customFormat="1" x14ac:dyDescent="0.3">
      <c r="A111" s="16"/>
      <c r="B111" s="47" t="s">
        <v>297</v>
      </c>
      <c r="C111" s="16">
        <f t="shared" ref="C111:P111" si="13">C110*C105/1000</f>
        <v>5830890.3315000003</v>
      </c>
      <c r="D111" s="47">
        <f t="shared" si="13"/>
        <v>5840313.8543999996</v>
      </c>
      <c r="E111" s="47">
        <f t="shared" si="13"/>
        <v>5824251.7349000005</v>
      </c>
      <c r="F111" s="47">
        <f t="shared" si="13"/>
        <v>5821984.8609999996</v>
      </c>
      <c r="G111" s="47">
        <f t="shared" si="13"/>
        <v>6012225.2562000006</v>
      </c>
      <c r="H111" s="47">
        <f t="shared" si="13"/>
        <v>5844944.6289000008</v>
      </c>
      <c r="I111" s="47">
        <f t="shared" si="13"/>
        <v>5847319.4344000006</v>
      </c>
      <c r="J111" s="47">
        <f t="shared" si="13"/>
        <v>5920944.582799999</v>
      </c>
      <c r="K111" s="47">
        <f t="shared" si="13"/>
        <v>5855416.5410999991</v>
      </c>
      <c r="L111" s="47">
        <f t="shared" si="13"/>
        <v>5839180.0896000005</v>
      </c>
      <c r="M111" s="47">
        <f t="shared" si="13"/>
        <v>5854643.1138000004</v>
      </c>
      <c r="N111" s="47">
        <f t="shared" si="13"/>
        <v>6078883.7664000001</v>
      </c>
      <c r="O111" s="47">
        <f t="shared" si="13"/>
        <v>6046408.4519999996</v>
      </c>
      <c r="P111" s="47">
        <f t="shared" si="13"/>
        <v>6056947.6668750001</v>
      </c>
      <c r="Q111" s="47"/>
      <c r="R111" s="47"/>
      <c r="S111" s="47"/>
      <c r="T111" s="47"/>
      <c r="U111" s="47"/>
      <c r="V111" s="47"/>
      <c r="W111" s="47">
        <f>W110*W105/1000</f>
        <v>6075453.084127699</v>
      </c>
      <c r="X111" s="17">
        <f>X110*X105/1000</f>
        <v>6379225.7383340849</v>
      </c>
      <c r="Y111" s="17"/>
      <c r="Z111" s="16"/>
    </row>
    <row r="112" spans="1:32" s="6" customFormat="1" x14ac:dyDescent="0.3">
      <c r="A112" s="205"/>
      <c r="B112" s="181" t="s">
        <v>298</v>
      </c>
      <c r="C112" s="205">
        <f t="shared" ref="C112:P112" si="14">(C109-C111)/C108</f>
        <v>992767.4612604751</v>
      </c>
      <c r="D112" s="181">
        <f t="shared" si="14"/>
        <v>974648.11644858785</v>
      </c>
      <c r="E112" s="181">
        <f t="shared" si="14"/>
        <v>986980.73121252982</v>
      </c>
      <c r="F112" s="181">
        <f t="shared" si="14"/>
        <v>1042450.6955085292</v>
      </c>
      <c r="G112" s="181">
        <f t="shared" si="14"/>
        <v>1036541.7857304087</v>
      </c>
      <c r="H112" s="181">
        <f t="shared" si="14"/>
        <v>1159262.6135828055</v>
      </c>
      <c r="I112" s="181">
        <f t="shared" si="14"/>
        <v>797858.48366318212</v>
      </c>
      <c r="J112" s="181">
        <f t="shared" si="14"/>
        <v>1018365.3114054941</v>
      </c>
      <c r="K112" s="181">
        <f t="shared" si="14"/>
        <v>952754.19933156064</v>
      </c>
      <c r="L112" s="181">
        <f t="shared" si="14"/>
        <v>1096829.8501464757</v>
      </c>
      <c r="M112" s="181">
        <f t="shared" si="14"/>
        <v>710589.58357516699</v>
      </c>
      <c r="N112" s="181">
        <f t="shared" si="14"/>
        <v>972819.39410801826</v>
      </c>
      <c r="O112" s="181">
        <f t="shared" si="14"/>
        <v>880864.92784999788</v>
      </c>
      <c r="P112" s="181">
        <f t="shared" si="14"/>
        <v>923911.28513152408</v>
      </c>
      <c r="Q112" s="181"/>
      <c r="R112" s="181"/>
      <c r="S112" s="181"/>
      <c r="T112" s="181"/>
      <c r="U112" s="181"/>
      <c r="V112" s="181"/>
      <c r="W112" s="181">
        <f>(W109-W111)/W108</f>
        <v>931532.84502514382</v>
      </c>
      <c r="X112" s="206">
        <f>(X109-X111)/X108</f>
        <v>889794.36546944373</v>
      </c>
      <c r="Y112" s="286">
        <f>AVERAGE(L109:P109)/AVERAGE(L111:P111)</f>
        <v>2.1235885454167538</v>
      </c>
      <c r="Z112" s="287">
        <f>X109/X111</f>
        <v>2.0151582115947786</v>
      </c>
    </row>
    <row r="113" spans="1:26" s="6" customFormat="1" x14ac:dyDescent="0.3">
      <c r="A113" s="144"/>
      <c r="B113" s="70" t="s">
        <v>392</v>
      </c>
      <c r="C113" s="418">
        <v>506610</v>
      </c>
      <c r="D113" s="244">
        <v>416476</v>
      </c>
      <c r="E113" s="244">
        <v>437362</v>
      </c>
      <c r="F113" s="244">
        <v>335594</v>
      </c>
      <c r="G113" s="244">
        <v>285966</v>
      </c>
      <c r="H113" s="244">
        <v>318864</v>
      </c>
      <c r="I113" s="244">
        <v>402490</v>
      </c>
      <c r="J113" s="244">
        <v>369408</v>
      </c>
      <c r="K113" s="244">
        <v>353461</v>
      </c>
      <c r="L113" s="244">
        <v>245482</v>
      </c>
      <c r="M113" s="244">
        <v>252278</v>
      </c>
      <c r="N113" s="244">
        <v>294226</v>
      </c>
      <c r="O113" s="244">
        <v>252947</v>
      </c>
      <c r="P113" s="244">
        <v>236491</v>
      </c>
      <c r="Q113" s="244"/>
      <c r="R113" s="244"/>
      <c r="S113" s="244"/>
      <c r="T113" s="244"/>
      <c r="U113" s="244"/>
      <c r="V113" s="244"/>
      <c r="W113" s="247">
        <f>AVERAGE(N113:P113)</f>
        <v>261221.33333333334</v>
      </c>
      <c r="X113" s="438">
        <f>W113</f>
        <v>261221.33333333334</v>
      </c>
      <c r="Y113" s="292"/>
      <c r="Z113" s="293"/>
    </row>
    <row r="114" spans="1:26" s="3" customFormat="1" x14ac:dyDescent="0.3">
      <c r="A114" s="16"/>
      <c r="B114" s="47" t="s">
        <v>139</v>
      </c>
      <c r="C114" s="58">
        <f t="shared" ref="C114:V114" si="15">C113*$F$60</f>
        <v>460117.31012658228</v>
      </c>
      <c r="D114" s="53">
        <f t="shared" si="15"/>
        <v>378255.10126582277</v>
      </c>
      <c r="E114" s="53">
        <f t="shared" si="15"/>
        <v>397224.34810126579</v>
      </c>
      <c r="F114" s="53">
        <f t="shared" si="15"/>
        <v>304795.81645569619</v>
      </c>
      <c r="G114" s="53">
        <f t="shared" si="15"/>
        <v>259722.28481012656</v>
      </c>
      <c r="H114" s="53">
        <f t="shared" si="15"/>
        <v>289601.16455696203</v>
      </c>
      <c r="I114" s="53">
        <f t="shared" si="15"/>
        <v>365552.62658227846</v>
      </c>
      <c r="J114" s="53">
        <f t="shared" si="15"/>
        <v>335506.63291139237</v>
      </c>
      <c r="K114" s="53">
        <f t="shared" si="15"/>
        <v>321023.12341772148</v>
      </c>
      <c r="L114" s="53">
        <f t="shared" si="15"/>
        <v>222953.58860759492</v>
      </c>
      <c r="M114" s="53">
        <f t="shared" si="15"/>
        <v>229125.90506329114</v>
      </c>
      <c r="N114" s="53">
        <f t="shared" si="15"/>
        <v>267224.24683544302</v>
      </c>
      <c r="O114" s="53">
        <f t="shared" si="15"/>
        <v>229733.50949367086</v>
      </c>
      <c r="P114" s="53">
        <f t="shared" si="15"/>
        <v>214787.71202531643</v>
      </c>
      <c r="Q114" s="53">
        <f t="shared" si="15"/>
        <v>0</v>
      </c>
      <c r="R114" s="53">
        <f t="shared" si="15"/>
        <v>0</v>
      </c>
      <c r="S114" s="53">
        <f t="shared" si="15"/>
        <v>0</v>
      </c>
      <c r="T114" s="53">
        <f t="shared" si="15"/>
        <v>0</v>
      </c>
      <c r="U114" s="53">
        <f t="shared" si="15"/>
        <v>0</v>
      </c>
      <c r="V114" s="53">
        <f t="shared" si="15"/>
        <v>0</v>
      </c>
      <c r="W114" s="47">
        <f>AVERAGE(N114:P114)</f>
        <v>237248.48945147675</v>
      </c>
      <c r="X114" s="17">
        <f>W114</f>
        <v>237248.48945147675</v>
      </c>
      <c r="Y114" s="13"/>
      <c r="Z114" s="12"/>
    </row>
    <row r="115" spans="1:26" s="4" customFormat="1" x14ac:dyDescent="0.3">
      <c r="A115" s="14"/>
      <c r="B115" s="48" t="s">
        <v>2</v>
      </c>
      <c r="C115" s="235">
        <v>5.01</v>
      </c>
      <c r="D115" s="236">
        <v>4.84</v>
      </c>
      <c r="E115" s="236">
        <v>5.44</v>
      </c>
      <c r="F115" s="236">
        <v>5.23</v>
      </c>
      <c r="G115" s="236">
        <v>5.15</v>
      </c>
      <c r="H115" s="236">
        <v>5.61</v>
      </c>
      <c r="I115" s="236">
        <v>4.13</v>
      </c>
      <c r="J115" s="236">
        <v>5.65</v>
      </c>
      <c r="K115" s="236">
        <v>5.05</v>
      </c>
      <c r="L115" s="236">
        <v>6.38</v>
      </c>
      <c r="M115" s="236">
        <v>5.26</v>
      </c>
      <c r="N115" s="236">
        <v>5.41</v>
      </c>
      <c r="O115" s="236">
        <v>5.32</v>
      </c>
      <c r="P115" s="236">
        <v>5.43</v>
      </c>
      <c r="Q115" s="236"/>
      <c r="R115" s="236"/>
      <c r="S115" s="236"/>
      <c r="T115" s="239"/>
      <c r="U115" s="239"/>
      <c r="V115" s="236"/>
      <c r="W115" s="92">
        <f>AVERAGE(L115:P115)*(1+'Hypothèses production'!B2)</f>
        <v>5.5600000000000005</v>
      </c>
      <c r="X115" s="208">
        <f>W115</f>
        <v>5.5600000000000005</v>
      </c>
      <c r="Y115" s="15"/>
      <c r="Z115" s="14"/>
    </row>
    <row r="116" spans="1:26" s="3" customFormat="1" x14ac:dyDescent="0.3">
      <c r="A116" s="58" t="s">
        <v>4</v>
      </c>
      <c r="B116" s="47" t="s">
        <v>138</v>
      </c>
      <c r="C116" s="16">
        <f>C115*C114</f>
        <v>2305187.7237341772</v>
      </c>
      <c r="D116" s="47">
        <f t="shared" ref="D116:P116" si="16">D115*D114</f>
        <v>1830754.690126582</v>
      </c>
      <c r="E116" s="47">
        <f t="shared" si="16"/>
        <v>2160900.4536708859</v>
      </c>
      <c r="F116" s="47">
        <f t="shared" si="16"/>
        <v>1594082.1200632912</v>
      </c>
      <c r="G116" s="47">
        <f t="shared" si="16"/>
        <v>1337569.7667721519</v>
      </c>
      <c r="H116" s="47">
        <f t="shared" si="16"/>
        <v>1624662.5331645571</v>
      </c>
      <c r="I116" s="47">
        <f t="shared" si="16"/>
        <v>1509732.34778481</v>
      </c>
      <c r="J116" s="47">
        <f t="shared" si="16"/>
        <v>1895612.475949367</v>
      </c>
      <c r="K116" s="47">
        <f t="shared" si="16"/>
        <v>1621166.7732594935</v>
      </c>
      <c r="L116" s="47">
        <f t="shared" si="16"/>
        <v>1422443.8953164555</v>
      </c>
      <c r="M116" s="47">
        <f t="shared" si="16"/>
        <v>1205202.2606329112</v>
      </c>
      <c r="N116" s="47">
        <f t="shared" si="16"/>
        <v>1445683.1753797468</v>
      </c>
      <c r="O116" s="47">
        <f t="shared" si="16"/>
        <v>1222182.2705063291</v>
      </c>
      <c r="P116" s="47">
        <f t="shared" si="16"/>
        <v>1166297.2762974682</v>
      </c>
      <c r="Q116" s="47"/>
      <c r="R116" s="47"/>
      <c r="S116" s="47"/>
      <c r="T116" s="47"/>
      <c r="U116" s="92"/>
      <c r="V116" s="47"/>
      <c r="W116" s="47">
        <f t="shared" ref="W116:X116" si="17">W115*W114</f>
        <v>1319101.6013502108</v>
      </c>
      <c r="X116" s="17">
        <f t="shared" si="17"/>
        <v>1319101.6013502108</v>
      </c>
      <c r="Y116" s="17"/>
      <c r="Z116" s="100"/>
    </row>
    <row r="117" spans="1:26" s="4" customFormat="1" x14ac:dyDescent="0.3">
      <c r="A117" s="14"/>
      <c r="B117" s="48" t="s">
        <v>430</v>
      </c>
      <c r="C117" s="20">
        <f>'Calcul R84'!C4</f>
        <v>15.2</v>
      </c>
      <c r="D117" s="49">
        <f>'Calcul R84'!D4</f>
        <v>15.5</v>
      </c>
      <c r="E117" s="49">
        <f>'Calcul R84'!E4</f>
        <v>15.2</v>
      </c>
      <c r="F117" s="49">
        <f>'Calcul R84'!F4</f>
        <v>16</v>
      </c>
      <c r="G117" s="49">
        <f>'Calcul R84'!G4</f>
        <v>15.8</v>
      </c>
      <c r="H117" s="49">
        <f>'Calcul R84'!H4</f>
        <v>15.8</v>
      </c>
      <c r="I117" s="49">
        <f>'Calcul R84'!I4</f>
        <v>15.6</v>
      </c>
      <c r="J117" s="49">
        <f>'Calcul R84'!J4</f>
        <v>16.3</v>
      </c>
      <c r="K117" s="49">
        <f>'Calcul R84'!K4</f>
        <v>16.399999999999999</v>
      </c>
      <c r="L117" s="49">
        <f>'Calcul R84'!L4</f>
        <v>13.8</v>
      </c>
      <c r="M117" s="49">
        <f>'Calcul R84'!M4</f>
        <v>16.2</v>
      </c>
      <c r="N117" s="49">
        <f>'Calcul R84'!N4</f>
        <v>16.7</v>
      </c>
      <c r="O117" s="49">
        <f>'Calcul R84'!O4</f>
        <v>16.7</v>
      </c>
      <c r="P117" s="49">
        <f>'Calcul R84'!P4</f>
        <v>16.712499999999999</v>
      </c>
      <c r="Q117" s="49">
        <f>'Calcul R84'!Q4</f>
        <v>0</v>
      </c>
      <c r="R117" s="49">
        <f>'Calcul R84'!R4</f>
        <v>0</v>
      </c>
      <c r="S117" s="49">
        <f>'Calcul R84'!S4</f>
        <v>0</v>
      </c>
      <c r="T117" s="49">
        <f>'Calcul R84'!T4</f>
        <v>0</v>
      </c>
      <c r="U117" s="49">
        <f>'Calcul R84'!U4</f>
        <v>0</v>
      </c>
      <c r="V117" s="49">
        <f>'Calcul R84'!V4</f>
        <v>0</v>
      </c>
      <c r="W117" s="49">
        <f>'Calcul R84'!W4</f>
        <v>16.8</v>
      </c>
      <c r="X117" s="21">
        <f>'Calcul R84'!X4</f>
        <v>17.64</v>
      </c>
      <c r="Y117" s="21"/>
      <c r="Z117" s="20"/>
    </row>
    <row r="118" spans="1:26" s="3" customFormat="1" x14ac:dyDescent="0.3">
      <c r="A118" s="16"/>
      <c r="B118" s="47" t="s">
        <v>297</v>
      </c>
      <c r="C118" s="16">
        <f t="shared" ref="C118:P118" si="18">C117*C105/1000</f>
        <v>954031.57200000004</v>
      </c>
      <c r="D118" s="47">
        <f t="shared" si="18"/>
        <v>977590.33200000005</v>
      </c>
      <c r="E118" s="47">
        <f t="shared" si="18"/>
        <v>963314.75919999997</v>
      </c>
      <c r="F118" s="47">
        <f t="shared" si="18"/>
        <v>1019165.84</v>
      </c>
      <c r="G118" s="47">
        <f t="shared" si="18"/>
        <v>1011641.7364000001</v>
      </c>
      <c r="H118" s="47">
        <f t="shared" si="18"/>
        <v>1015952.9718000001</v>
      </c>
      <c r="I118" s="47">
        <f t="shared" si="18"/>
        <v>1005713.1551999999</v>
      </c>
      <c r="J118" s="47">
        <f t="shared" si="18"/>
        <v>1053617.8679000002</v>
      </c>
      <c r="K118" s="47">
        <f t="shared" si="18"/>
        <v>1063442.2068</v>
      </c>
      <c r="L118" s="47">
        <f t="shared" si="18"/>
        <v>898335.39840000006</v>
      </c>
      <c r="M118" s="47">
        <f t="shared" si="18"/>
        <v>1057360.2948</v>
      </c>
      <c r="N118" s="47">
        <f t="shared" si="18"/>
        <v>1093937.0570999999</v>
      </c>
      <c r="O118" s="47">
        <f t="shared" si="18"/>
        <v>1097554.5777</v>
      </c>
      <c r="P118" s="47">
        <f t="shared" si="18"/>
        <v>1101787.6232124998</v>
      </c>
      <c r="Q118" s="47"/>
      <c r="R118" s="47"/>
      <c r="S118" s="47"/>
      <c r="T118" s="47"/>
      <c r="U118" s="47"/>
      <c r="V118" s="47"/>
      <c r="W118" s="47">
        <f>W117*W105/1000</f>
        <v>1121622.1078389599</v>
      </c>
      <c r="X118" s="17">
        <f>X117*X105/1000</f>
        <v>1177703.2132309079</v>
      </c>
      <c r="Y118" s="17"/>
      <c r="Z118" s="16"/>
    </row>
    <row r="119" spans="1:26" s="6" customFormat="1" x14ac:dyDescent="0.3">
      <c r="A119" s="205"/>
      <c r="B119" s="181" t="s">
        <v>298</v>
      </c>
      <c r="C119" s="18">
        <f t="shared" ref="C119:P119" si="19">(C116-C118)/C115</f>
        <v>269691.84665352834</v>
      </c>
      <c r="D119" s="203">
        <f t="shared" si="19"/>
        <v>176273.62771210371</v>
      </c>
      <c r="E119" s="203">
        <f t="shared" si="19"/>
        <v>220144.42913067754</v>
      </c>
      <c r="F119" s="203">
        <f t="shared" si="19"/>
        <v>109926.63098724496</v>
      </c>
      <c r="G119" s="203">
        <f t="shared" si="19"/>
        <v>63286.996188767349</v>
      </c>
      <c r="H119" s="203">
        <f t="shared" si="19"/>
        <v>108504.37813984972</v>
      </c>
      <c r="I119" s="203">
        <f t="shared" si="19"/>
        <v>122038.54542005087</v>
      </c>
      <c r="J119" s="203">
        <f t="shared" si="19"/>
        <v>149025.59434502068</v>
      </c>
      <c r="K119" s="203">
        <f t="shared" si="19"/>
        <v>110440.5082098007</v>
      </c>
      <c r="L119" s="203">
        <f t="shared" si="19"/>
        <v>82148.667228284554</v>
      </c>
      <c r="M119" s="203">
        <f t="shared" si="19"/>
        <v>28106.837610819621</v>
      </c>
      <c r="N119" s="203">
        <f t="shared" si="19"/>
        <v>65017.766779990197</v>
      </c>
      <c r="O119" s="203">
        <f t="shared" si="19"/>
        <v>23426.258046302464</v>
      </c>
      <c r="P119" s="203">
        <f t="shared" si="19"/>
        <v>11880.230770712422</v>
      </c>
      <c r="Q119" s="203"/>
      <c r="R119" s="203"/>
      <c r="S119" s="203"/>
      <c r="T119" s="203"/>
      <c r="U119" s="203"/>
      <c r="V119" s="203"/>
      <c r="W119" s="203">
        <f>(W116-W118)/W115</f>
        <v>35517.894516412038</v>
      </c>
      <c r="X119" s="19">
        <f>(X116-X118)/X115</f>
        <v>25431.364769658798</v>
      </c>
      <c r="Y119" s="286">
        <f>AVERAGE(L116:P116)/AVERAGE(L118:P118)</f>
        <v>1.2310611001563745</v>
      </c>
      <c r="Z119" s="287">
        <f>X116/X118</f>
        <v>1.120062836316283</v>
      </c>
    </row>
    <row r="120" spans="1:26" s="6" customFormat="1" x14ac:dyDescent="0.3">
      <c r="A120" s="144"/>
      <c r="B120" s="367" t="s">
        <v>392</v>
      </c>
      <c r="C120" s="124">
        <v>3801656</v>
      </c>
      <c r="D120" s="124">
        <v>3781656</v>
      </c>
      <c r="E120" s="124">
        <v>4063056</v>
      </c>
      <c r="F120" s="124">
        <v>4149002</v>
      </c>
      <c r="G120" s="124">
        <v>4259826</v>
      </c>
      <c r="H120" s="124">
        <v>4094598</v>
      </c>
      <c r="I120" s="124">
        <v>3976401</v>
      </c>
      <c r="J120" s="124">
        <v>3992445</v>
      </c>
      <c r="K120" s="124">
        <v>3811095</v>
      </c>
      <c r="L120" s="124">
        <v>4131973</v>
      </c>
      <c r="M120" s="124">
        <v>4392509</v>
      </c>
      <c r="N120" s="124">
        <v>4028954</v>
      </c>
      <c r="O120" s="124">
        <v>4043297</v>
      </c>
      <c r="P120" s="124">
        <v>3816968</v>
      </c>
      <c r="Q120" s="124"/>
      <c r="R120" s="124"/>
      <c r="S120" s="124"/>
      <c r="T120" s="124"/>
      <c r="U120" s="124"/>
      <c r="V120" s="124"/>
      <c r="W120" s="53">
        <f>AVERAGE(N120:P120)</f>
        <v>3963073</v>
      </c>
      <c r="X120" s="210">
        <f>W120</f>
        <v>3963073</v>
      </c>
      <c r="Y120" s="292"/>
      <c r="Z120" s="293"/>
    </row>
    <row r="121" spans="1:26" s="3" customFormat="1" x14ac:dyDescent="0.3">
      <c r="A121" s="16"/>
      <c r="B121" s="17" t="s">
        <v>139</v>
      </c>
      <c r="C121" s="47">
        <f t="shared" ref="C121:V121" si="20">C120*$G$61</f>
        <v>185613.92346201165</v>
      </c>
      <c r="D121" s="47">
        <f t="shared" si="20"/>
        <v>184637.43361936408</v>
      </c>
      <c r="E121" s="47">
        <f t="shared" si="20"/>
        <v>198376.64570541555</v>
      </c>
      <c r="F121" s="47">
        <f t="shared" si="20"/>
        <v>202572.91550622499</v>
      </c>
      <c r="G121" s="47">
        <f t="shared" si="20"/>
        <v>207983.84102230376</v>
      </c>
      <c r="H121" s="47">
        <f t="shared" si="20"/>
        <v>199916.66783625504</v>
      </c>
      <c r="I121" s="47">
        <f t="shared" si="20"/>
        <v>194145.75933968424</v>
      </c>
      <c r="J121" s="47">
        <f t="shared" si="20"/>
        <v>194929.09949145612</v>
      </c>
      <c r="K121" s="47">
        <f t="shared" si="20"/>
        <v>186074.77784324918</v>
      </c>
      <c r="L121" s="47">
        <f t="shared" si="20"/>
        <v>201741.48322970272</v>
      </c>
      <c r="M121" s="47">
        <f t="shared" si="20"/>
        <v>214462.02111190424</v>
      </c>
      <c r="N121" s="47">
        <f t="shared" si="20"/>
        <v>196711.63287471715</v>
      </c>
      <c r="O121" s="47">
        <f t="shared" si="20"/>
        <v>197411.92256537187</v>
      </c>
      <c r="P121" s="47">
        <f t="shared" si="20"/>
        <v>186361.52408554265</v>
      </c>
      <c r="Q121" s="47">
        <f t="shared" si="20"/>
        <v>0</v>
      </c>
      <c r="R121" s="47">
        <f t="shared" si="20"/>
        <v>0</v>
      </c>
      <c r="S121" s="47">
        <f t="shared" si="20"/>
        <v>0</v>
      </c>
      <c r="T121" s="47">
        <f t="shared" si="20"/>
        <v>0</v>
      </c>
      <c r="U121" s="47">
        <f t="shared" si="20"/>
        <v>0</v>
      </c>
      <c r="V121" s="47">
        <f t="shared" si="20"/>
        <v>0</v>
      </c>
      <c r="W121" s="47">
        <f>AVERAGE(N121:P121)</f>
        <v>193495.02650854387</v>
      </c>
      <c r="X121" s="17">
        <f>W121</f>
        <v>193495.02650854387</v>
      </c>
      <c r="Y121" s="13"/>
      <c r="Z121" s="12"/>
    </row>
    <row r="122" spans="1:26" s="4" customFormat="1" x14ac:dyDescent="0.3">
      <c r="A122" s="14"/>
      <c r="B122" s="15" t="s">
        <v>2</v>
      </c>
      <c r="C122" s="236">
        <v>7.23</v>
      </c>
      <c r="D122" s="236">
        <v>7.44</v>
      </c>
      <c r="E122" s="236">
        <v>7.53</v>
      </c>
      <c r="F122" s="236">
        <v>6.96</v>
      </c>
      <c r="G122" s="236">
        <v>7.95</v>
      </c>
      <c r="H122" s="236">
        <v>7.4</v>
      </c>
      <c r="I122" s="236">
        <v>6.28</v>
      </c>
      <c r="J122" s="236">
        <v>7.5</v>
      </c>
      <c r="K122" s="236">
        <v>7.04</v>
      </c>
      <c r="L122" s="236">
        <v>7.3</v>
      </c>
      <c r="M122" s="236">
        <v>6.18</v>
      </c>
      <c r="N122" s="236">
        <v>7.59</v>
      </c>
      <c r="O122" s="236">
        <v>6.31</v>
      </c>
      <c r="P122" s="236">
        <v>7.45</v>
      </c>
      <c r="Q122" s="236"/>
      <c r="R122" s="236"/>
      <c r="S122" s="236"/>
      <c r="T122" s="239"/>
      <c r="U122" s="241"/>
      <c r="V122" s="236"/>
      <c r="W122" s="92">
        <f>AVERAGE(L122:P122)*(1+'Hypothèses production'!B2)</f>
        <v>6.9659999999999993</v>
      </c>
      <c r="X122" s="208">
        <f>W122</f>
        <v>6.9659999999999993</v>
      </c>
      <c r="Y122" s="15"/>
      <c r="Z122" s="14"/>
    </row>
    <row r="123" spans="1:26" s="3" customFormat="1" x14ac:dyDescent="0.3">
      <c r="A123" s="58" t="s">
        <v>84</v>
      </c>
      <c r="B123" s="17" t="s">
        <v>138</v>
      </c>
      <c r="C123" s="47">
        <f>C122*C121</f>
        <v>1341988.6666303442</v>
      </c>
      <c r="D123" s="47">
        <f t="shared" ref="D123:P123" si="21">D122*D121</f>
        <v>1373702.5061280688</v>
      </c>
      <c r="E123" s="47">
        <f t="shared" si="21"/>
        <v>1493776.1421617791</v>
      </c>
      <c r="F123" s="47">
        <f t="shared" si="21"/>
        <v>1409907.4919233259</v>
      </c>
      <c r="G123" s="47">
        <f t="shared" si="21"/>
        <v>1653471.5361273149</v>
      </c>
      <c r="H123" s="47">
        <f t="shared" si="21"/>
        <v>1479383.3419882874</v>
      </c>
      <c r="I123" s="47">
        <f t="shared" si="21"/>
        <v>1219235.3686532171</v>
      </c>
      <c r="J123" s="47">
        <f t="shared" si="21"/>
        <v>1461968.2461859209</v>
      </c>
      <c r="K123" s="47">
        <f t="shared" si="21"/>
        <v>1309966.4360164742</v>
      </c>
      <c r="L123" s="47">
        <f t="shared" si="21"/>
        <v>1472712.8275768298</v>
      </c>
      <c r="M123" s="47">
        <f t="shared" si="21"/>
        <v>1325375.290471568</v>
      </c>
      <c r="N123" s="47">
        <f t="shared" si="21"/>
        <v>1493041.2935191032</v>
      </c>
      <c r="O123" s="47">
        <f t="shared" si="21"/>
        <v>1245669.2313874965</v>
      </c>
      <c r="P123" s="47">
        <f t="shared" si="21"/>
        <v>1388393.3544372928</v>
      </c>
      <c r="Q123" s="47"/>
      <c r="R123" s="47"/>
      <c r="S123" s="47"/>
      <c r="T123" s="47"/>
      <c r="U123" s="92"/>
      <c r="V123" s="47"/>
      <c r="W123" s="47">
        <f t="shared" ref="W123:X123" si="22">W122*W121</f>
        <v>1347886.3546585166</v>
      </c>
      <c r="X123" s="17">
        <f t="shared" si="22"/>
        <v>1347886.3546585166</v>
      </c>
      <c r="Y123" s="17"/>
      <c r="Z123" s="100"/>
    </row>
    <row r="124" spans="1:26" s="4" customFormat="1" x14ac:dyDescent="0.3">
      <c r="A124" s="14"/>
      <c r="B124" s="48" t="s">
        <v>430</v>
      </c>
      <c r="C124" s="253">
        <f>'Calcul R84'!C5</f>
        <v>5.4</v>
      </c>
      <c r="D124" s="253">
        <f>'Calcul R84'!D5</f>
        <v>5.6</v>
      </c>
      <c r="E124" s="253">
        <f>'Calcul R84'!E5</f>
        <v>5.6</v>
      </c>
      <c r="F124" s="253">
        <f>'Calcul R84'!F5</f>
        <v>6.1</v>
      </c>
      <c r="G124" s="253">
        <f>'Calcul R84'!G5</f>
        <v>8.6999999999999993</v>
      </c>
      <c r="H124" s="253">
        <f>'Calcul R84'!H5</f>
        <v>6.3</v>
      </c>
      <c r="I124" s="253">
        <f>'Calcul R84'!I5</f>
        <v>7.2</v>
      </c>
      <c r="J124" s="253">
        <f>'Calcul R84'!J5</f>
        <v>7.6</v>
      </c>
      <c r="K124" s="253">
        <f>'Calcul R84'!K5</f>
        <v>13.2</v>
      </c>
      <c r="L124" s="253">
        <f>'Calcul R84'!L5</f>
        <v>15.9</v>
      </c>
      <c r="M124" s="253">
        <f>'Calcul R84'!M5</f>
        <v>14.9</v>
      </c>
      <c r="N124" s="253">
        <f>'Calcul R84'!N5</f>
        <v>6.8</v>
      </c>
      <c r="O124" s="253">
        <f>'Calcul R84'!O5</f>
        <v>8</v>
      </c>
      <c r="P124" s="253">
        <f>'Calcul R84'!P5</f>
        <v>8.125</v>
      </c>
      <c r="Q124" s="253">
        <f>'Calcul R84'!Q5</f>
        <v>0</v>
      </c>
      <c r="R124" s="253">
        <f>'Calcul R84'!R5</f>
        <v>0</v>
      </c>
      <c r="S124" s="253">
        <f>'Calcul R84'!S5</f>
        <v>0</v>
      </c>
      <c r="T124" s="253">
        <f>'Calcul R84'!T5</f>
        <v>0</v>
      </c>
      <c r="U124" s="253">
        <f>'Calcul R84'!U5</f>
        <v>0</v>
      </c>
      <c r="V124" s="253">
        <f>'Calcul R84'!V5</f>
        <v>0</v>
      </c>
      <c r="W124" s="253">
        <f>'Calcul R84'!W5</f>
        <v>9</v>
      </c>
      <c r="X124" s="245">
        <f>'Calcul R84'!X5</f>
        <v>9.4500000000000011</v>
      </c>
      <c r="Y124" s="21"/>
      <c r="Z124" s="20"/>
    </row>
    <row r="125" spans="1:26" s="3" customFormat="1" x14ac:dyDescent="0.3">
      <c r="A125" s="16"/>
      <c r="B125" s="17" t="s">
        <v>297</v>
      </c>
      <c r="C125" s="47">
        <f t="shared" ref="C125:P125" si="23">C124*C105/1000</f>
        <v>338932.26899999997</v>
      </c>
      <c r="D125" s="47">
        <f t="shared" si="23"/>
        <v>353193.9264</v>
      </c>
      <c r="E125" s="47">
        <f t="shared" si="23"/>
        <v>354905.43759999995</v>
      </c>
      <c r="F125" s="47">
        <f t="shared" si="23"/>
        <v>388556.97649999999</v>
      </c>
      <c r="G125" s="47">
        <f t="shared" si="23"/>
        <v>557043.23459999985</v>
      </c>
      <c r="H125" s="47">
        <f t="shared" si="23"/>
        <v>405095.17230000003</v>
      </c>
      <c r="I125" s="47">
        <f t="shared" si="23"/>
        <v>464175.30240000004</v>
      </c>
      <c r="J125" s="47">
        <f t="shared" si="23"/>
        <v>491257.41079999995</v>
      </c>
      <c r="K125" s="47">
        <f t="shared" si="23"/>
        <v>855941.28839999996</v>
      </c>
      <c r="L125" s="47">
        <f t="shared" si="23"/>
        <v>1035038.6112</v>
      </c>
      <c r="M125" s="47">
        <f t="shared" si="23"/>
        <v>972510.3946</v>
      </c>
      <c r="N125" s="47">
        <f t="shared" si="23"/>
        <v>445435.44839999999</v>
      </c>
      <c r="O125" s="47">
        <f t="shared" si="23"/>
        <v>525774.64800000004</v>
      </c>
      <c r="P125" s="47">
        <f t="shared" si="23"/>
        <v>535648.43312499998</v>
      </c>
      <c r="Q125" s="47"/>
      <c r="R125" s="47"/>
      <c r="S125" s="47"/>
      <c r="T125" s="47"/>
      <c r="U125" s="47"/>
      <c r="V125" s="47"/>
      <c r="W125" s="47">
        <f>W124*W105/1000</f>
        <v>600868.98634229996</v>
      </c>
      <c r="X125" s="17">
        <f>X124*X105/1000</f>
        <v>630912.43565941497</v>
      </c>
      <c r="Y125" s="17"/>
      <c r="Z125" s="16"/>
    </row>
    <row r="126" spans="1:26" s="6" customFormat="1" x14ac:dyDescent="0.3">
      <c r="A126" s="205"/>
      <c r="B126" s="206" t="s">
        <v>298</v>
      </c>
      <c r="C126" s="181">
        <f t="shared" ref="C126:P126" si="24">(C123-C125)/C122</f>
        <v>138735.32470682493</v>
      </c>
      <c r="D126" s="181">
        <f t="shared" si="24"/>
        <v>137165.1316838802</v>
      </c>
      <c r="E126" s="181">
        <f t="shared" si="24"/>
        <v>151244.44947699591</v>
      </c>
      <c r="F126" s="181">
        <f t="shared" si="24"/>
        <v>146745.76371024799</v>
      </c>
      <c r="G126" s="181">
        <f t="shared" si="24"/>
        <v>137915.50962607737</v>
      </c>
      <c r="H126" s="181">
        <f t="shared" si="24"/>
        <v>145174.07698490369</v>
      </c>
      <c r="I126" s="181">
        <f t="shared" si="24"/>
        <v>120232.49462630844</v>
      </c>
      <c r="J126" s="181">
        <f t="shared" si="24"/>
        <v>129428.11138478946</v>
      </c>
      <c r="K126" s="181">
        <f t="shared" si="24"/>
        <v>64492.208468249177</v>
      </c>
      <c r="L126" s="181">
        <f t="shared" si="24"/>
        <v>59955.372106415038</v>
      </c>
      <c r="M126" s="181">
        <f t="shared" si="24"/>
        <v>57097.879590868615</v>
      </c>
      <c r="N126" s="181">
        <f t="shared" si="24"/>
        <v>138024.48552293851</v>
      </c>
      <c r="O126" s="181">
        <f t="shared" si="24"/>
        <v>114087.88960182194</v>
      </c>
      <c r="P126" s="181">
        <f t="shared" si="24"/>
        <v>114462.4055452742</v>
      </c>
      <c r="Q126" s="181"/>
      <c r="R126" s="181"/>
      <c r="S126" s="181"/>
      <c r="T126" s="181"/>
      <c r="U126" s="181"/>
      <c r="V126" s="181"/>
      <c r="W126" s="181">
        <f>(W123-W125)/W122</f>
        <v>107237.63541720022</v>
      </c>
      <c r="X126" s="206">
        <f>(X123-X125)/X122</f>
        <v>102924.76586263302</v>
      </c>
      <c r="Y126" s="286">
        <f>AVERAGE(L123:P123)/AVERAGE(L125:P125)</f>
        <v>1.970514781733153</v>
      </c>
      <c r="Z126" s="287">
        <f>X123/X125</f>
        <v>2.1364079680086463</v>
      </c>
    </row>
    <row r="127" spans="1:26" s="6" customFormat="1" x14ac:dyDescent="0.3">
      <c r="A127" s="144"/>
      <c r="B127" s="70" t="s">
        <v>392</v>
      </c>
      <c r="C127" s="439">
        <v>1463791</v>
      </c>
      <c r="D127" s="204">
        <v>1555606</v>
      </c>
      <c r="E127" s="204">
        <v>1606921</v>
      </c>
      <c r="F127" s="204">
        <v>1436852</v>
      </c>
      <c r="G127" s="204">
        <v>1503143</v>
      </c>
      <c r="H127" s="204">
        <v>1505701</v>
      </c>
      <c r="I127" s="204">
        <v>1550459</v>
      </c>
      <c r="J127" s="204">
        <v>1401443</v>
      </c>
      <c r="K127" s="204">
        <v>1616589</v>
      </c>
      <c r="L127" s="204">
        <v>1107041</v>
      </c>
      <c r="M127" s="204">
        <v>1112928</v>
      </c>
      <c r="N127" s="204">
        <v>980127</v>
      </c>
      <c r="O127" s="204">
        <v>1230151</v>
      </c>
      <c r="P127" s="204">
        <v>1345123</v>
      </c>
      <c r="Q127" s="244"/>
      <c r="R127" s="244"/>
      <c r="S127" s="244"/>
      <c r="T127" s="244"/>
      <c r="U127" s="244"/>
      <c r="V127" s="244"/>
      <c r="W127" s="247">
        <f>AVERAGE(N127:P127)</f>
        <v>1185133.6666666667</v>
      </c>
      <c r="X127" s="438">
        <f>W127</f>
        <v>1185133.6666666667</v>
      </c>
      <c r="Y127" s="292"/>
      <c r="Z127" s="293"/>
    </row>
    <row r="128" spans="1:26" s="3" customFormat="1" x14ac:dyDescent="0.3">
      <c r="A128" s="16"/>
      <c r="B128" s="47" t="s">
        <v>139</v>
      </c>
      <c r="C128" s="58">
        <f t="shared" ref="C128:V128" si="25">C127*$F$68</f>
        <v>171528.29543662272</v>
      </c>
      <c r="D128" s="53">
        <f t="shared" si="25"/>
        <v>182287.25654890825</v>
      </c>
      <c r="E128" s="53">
        <f t="shared" si="25"/>
        <v>188300.39263208563</v>
      </c>
      <c r="F128" s="53">
        <f t="shared" si="25"/>
        <v>168371.56011664387</v>
      </c>
      <c r="G128" s="53">
        <f t="shared" si="25"/>
        <v>176139.596832807</v>
      </c>
      <c r="H128" s="53">
        <f t="shared" si="25"/>
        <v>176439.34548526278</v>
      </c>
      <c r="I128" s="53">
        <f t="shared" si="25"/>
        <v>181684.12663718429</v>
      </c>
      <c r="J128" s="53">
        <f t="shared" si="25"/>
        <v>164222.30287082438</v>
      </c>
      <c r="K128" s="53">
        <f t="shared" si="25"/>
        <v>189433.29723409592</v>
      </c>
      <c r="L128" s="53">
        <f t="shared" si="25"/>
        <v>129724.02187775049</v>
      </c>
      <c r="M128" s="53">
        <f t="shared" si="25"/>
        <v>130413.86562951245</v>
      </c>
      <c r="N128" s="53">
        <f t="shared" si="25"/>
        <v>114852.12958776951</v>
      </c>
      <c r="O128" s="53">
        <f t="shared" si="25"/>
        <v>144150.15815759005</v>
      </c>
      <c r="P128" s="53">
        <f t="shared" si="25"/>
        <v>157622.67655874116</v>
      </c>
      <c r="Q128" s="53">
        <f t="shared" si="25"/>
        <v>0</v>
      </c>
      <c r="R128" s="53">
        <f t="shared" si="25"/>
        <v>0</v>
      </c>
      <c r="S128" s="53">
        <f t="shared" si="25"/>
        <v>0</v>
      </c>
      <c r="T128" s="53">
        <f t="shared" si="25"/>
        <v>0</v>
      </c>
      <c r="U128" s="53">
        <f t="shared" si="25"/>
        <v>0</v>
      </c>
      <c r="V128" s="53">
        <f t="shared" si="25"/>
        <v>0</v>
      </c>
      <c r="W128" s="47">
        <f>AVERAGE(N128:P128)</f>
        <v>138874.98810136691</v>
      </c>
      <c r="X128" s="17">
        <f>W128</f>
        <v>138874.98810136691</v>
      </c>
      <c r="Y128" s="13"/>
      <c r="Z128" s="12"/>
    </row>
    <row r="129" spans="1:26" s="4" customFormat="1" x14ac:dyDescent="0.3">
      <c r="A129" s="14" t="s">
        <v>68</v>
      </c>
      <c r="B129" s="48" t="s">
        <v>2</v>
      </c>
      <c r="C129" s="235">
        <v>3.29</v>
      </c>
      <c r="D129" s="236">
        <v>3.45</v>
      </c>
      <c r="E129" s="236">
        <v>3.4</v>
      </c>
      <c r="F129" s="236">
        <v>3.04</v>
      </c>
      <c r="G129" s="236">
        <v>3.68</v>
      </c>
      <c r="H129" s="236">
        <v>3.54</v>
      </c>
      <c r="I129" s="236">
        <v>3.06</v>
      </c>
      <c r="J129" s="236">
        <v>3.79</v>
      </c>
      <c r="K129" s="236">
        <v>3.08</v>
      </c>
      <c r="L129" s="236">
        <v>3.18</v>
      </c>
      <c r="M129" s="236">
        <v>2.96</v>
      </c>
      <c r="N129" s="236">
        <v>3.37</v>
      </c>
      <c r="O129" s="236">
        <v>3.67</v>
      </c>
      <c r="P129" s="236">
        <v>3.17</v>
      </c>
      <c r="Q129" s="101"/>
      <c r="R129" s="101"/>
      <c r="S129" s="101"/>
      <c r="T129" s="123"/>
      <c r="U129" s="123"/>
      <c r="V129" s="101"/>
      <c r="W129" s="92">
        <f>AVERAGE(L129:P129)*(1+'Hypothèses production'!B3)</f>
        <v>3.2700000000000005</v>
      </c>
      <c r="X129" s="208">
        <f>W129</f>
        <v>3.2700000000000005</v>
      </c>
      <c r="Y129" s="15"/>
      <c r="Z129" s="14"/>
    </row>
    <row r="130" spans="1:26" s="3" customFormat="1" x14ac:dyDescent="0.3">
      <c r="A130" s="16" t="s">
        <v>66</v>
      </c>
      <c r="B130" s="47" t="s">
        <v>238</v>
      </c>
      <c r="C130" s="16">
        <f>C129*C128*'huile colza tournesol soja'!$D$6</f>
        <v>242661.07955419016</v>
      </c>
      <c r="D130" s="47">
        <f>D129*D128*'huile colza tournesol soja'!$D$6</f>
        <v>270423.14509030536</v>
      </c>
      <c r="E130" s="47">
        <f>E129*E128*'huile colza tournesol soja'!$D$6</f>
        <v>275295.17402810918</v>
      </c>
      <c r="F130" s="47">
        <f>F129*F128*'huile colza tournesol soja'!$D$6</f>
        <v>220095.30338447687</v>
      </c>
      <c r="G130" s="47">
        <f>G129*G128*'huile colza tournesol soja'!$D$6</f>
        <v>278723.29802823381</v>
      </c>
      <c r="H130" s="47">
        <f>H129*H128*'huile colza tournesol soja'!$D$6</f>
        <v>268575.97169766697</v>
      </c>
      <c r="I130" s="47">
        <f>I129*I128*'huile colza tournesol soja'!$D$6</f>
        <v>239059.97382920713</v>
      </c>
      <c r="J130" s="47">
        <f>J129*J128*'huile colza tournesol soja'!$D$6</f>
        <v>267633.08698858251</v>
      </c>
      <c r="K130" s="47">
        <f>K129*K128*'huile colza tournesol soja'!$D$6</f>
        <v>250885.45885683666</v>
      </c>
      <c r="L130" s="47">
        <f>L129*L128*'huile colza tournesol soja'!$D$6</f>
        <v>177384.62751563604</v>
      </c>
      <c r="M130" s="47">
        <f>M129*M128*'huile colza tournesol soja'!$D$6</f>
        <v>165990.76817324344</v>
      </c>
      <c r="N130" s="47">
        <f>N129*N128*'huile colza tournesol soja'!$D$6</f>
        <v>166432.22098563681</v>
      </c>
      <c r="O130" s="47">
        <f>O129*O128*'huile colza tournesol soja'!$D$6</f>
        <v>227483.36458849284</v>
      </c>
      <c r="P130" s="47">
        <f>P129*P128*'huile colza tournesol soja'!$D$6</f>
        <v>214855.47041722006</v>
      </c>
      <c r="Q130" s="47"/>
      <c r="R130" s="47"/>
      <c r="S130" s="47"/>
      <c r="T130" s="47"/>
      <c r="U130" s="92"/>
      <c r="V130" s="47"/>
      <c r="W130" s="47">
        <f>W129*W128*'huile colza tournesol soja'!$D$6</f>
        <v>195272.12076933205</v>
      </c>
      <c r="X130" s="17">
        <f>X129*X128*'huile colza tournesol soja'!$D$6</f>
        <v>195272.12076933205</v>
      </c>
      <c r="Y130" s="17"/>
      <c r="Z130" s="100"/>
    </row>
    <row r="131" spans="1:26" s="4" customFormat="1" x14ac:dyDescent="0.3">
      <c r="A131" s="14"/>
      <c r="B131" s="48" t="s">
        <v>430</v>
      </c>
      <c r="C131" s="440">
        <f>'Calcul R84'!C6</f>
        <v>3.1</v>
      </c>
      <c r="D131" s="253">
        <f>'Calcul R84'!D6</f>
        <v>2</v>
      </c>
      <c r="E131" s="253">
        <f>'Calcul R84'!E6</f>
        <v>2.7</v>
      </c>
      <c r="F131" s="253">
        <f>'Calcul R84'!F6</f>
        <v>2.2000000000000002</v>
      </c>
      <c r="G131" s="253">
        <f>'Calcul R84'!G6</f>
        <v>1</v>
      </c>
      <c r="H131" s="253">
        <f>'Calcul R84'!H6</f>
        <v>2.5</v>
      </c>
      <c r="I131" s="253">
        <f>'Calcul R84'!I6</f>
        <v>2.5</v>
      </c>
      <c r="J131" s="253">
        <f>'Calcul R84'!J6</f>
        <v>2.5</v>
      </c>
      <c r="K131" s="253">
        <f>'Calcul R84'!K6</f>
        <v>2.5</v>
      </c>
      <c r="L131" s="253">
        <f>'Calcul R84'!L6</f>
        <v>2.5</v>
      </c>
      <c r="M131" s="253">
        <f>'Calcul R84'!M6</f>
        <v>2.5</v>
      </c>
      <c r="N131" s="253">
        <f>'Calcul R84'!N6</f>
        <v>2.5</v>
      </c>
      <c r="O131" s="253">
        <f>'Calcul R84'!O6</f>
        <v>2.5</v>
      </c>
      <c r="P131" s="253">
        <f>'Calcul R84'!P6</f>
        <v>2.5</v>
      </c>
      <c r="Q131" s="253">
        <f>'Calcul R84'!Q6</f>
        <v>0</v>
      </c>
      <c r="R131" s="253">
        <f>'Calcul R84'!R6</f>
        <v>0</v>
      </c>
      <c r="S131" s="253">
        <f>'Calcul R84'!S6</f>
        <v>0</v>
      </c>
      <c r="T131" s="253">
        <f>'Calcul R84'!T6</f>
        <v>0</v>
      </c>
      <c r="U131" s="253">
        <f>'Calcul R84'!U6</f>
        <v>0</v>
      </c>
      <c r="V131" s="253">
        <f>'Calcul R84'!V6</f>
        <v>0</v>
      </c>
      <c r="W131" s="253">
        <f>'Calcul R84'!W6</f>
        <v>2.5</v>
      </c>
      <c r="X131" s="245">
        <f>'Calcul R84'!X6</f>
        <v>2.5</v>
      </c>
      <c r="Y131" s="15"/>
      <c r="Z131" s="14"/>
    </row>
    <row r="132" spans="1:26" s="3" customFormat="1" x14ac:dyDescent="0.3">
      <c r="A132" s="16"/>
      <c r="B132" s="47" t="s">
        <v>297</v>
      </c>
      <c r="C132" s="16">
        <f t="shared" ref="C132:P132" si="26">C131*C105/1000</f>
        <v>194572.2285</v>
      </c>
      <c r="D132" s="47">
        <f t="shared" si="26"/>
        <v>126140.68799999999</v>
      </c>
      <c r="E132" s="47">
        <f t="shared" si="26"/>
        <v>171115.12170000002</v>
      </c>
      <c r="F132" s="47">
        <f t="shared" si="26"/>
        <v>140135.30300000001</v>
      </c>
      <c r="G132" s="47">
        <f t="shared" si="26"/>
        <v>64027.957999999999</v>
      </c>
      <c r="H132" s="47">
        <f t="shared" si="26"/>
        <v>160752.05249999999</v>
      </c>
      <c r="I132" s="47">
        <f t="shared" si="26"/>
        <v>161171.98000000001</v>
      </c>
      <c r="J132" s="47">
        <f t="shared" si="26"/>
        <v>161597.83249999999</v>
      </c>
      <c r="K132" s="47">
        <f t="shared" si="26"/>
        <v>162110.0925</v>
      </c>
      <c r="L132" s="47">
        <f t="shared" si="26"/>
        <v>162741.92000000001</v>
      </c>
      <c r="M132" s="47">
        <f t="shared" si="26"/>
        <v>163172.88500000001</v>
      </c>
      <c r="N132" s="47">
        <f t="shared" si="26"/>
        <v>163763.0325</v>
      </c>
      <c r="O132" s="47">
        <f t="shared" si="26"/>
        <v>164304.57750000001</v>
      </c>
      <c r="P132" s="47">
        <f t="shared" si="26"/>
        <v>164814.9025</v>
      </c>
      <c r="Q132" s="47"/>
      <c r="R132" s="47"/>
      <c r="S132" s="47"/>
      <c r="T132" s="207"/>
      <c r="U132" s="47"/>
      <c r="V132" s="47"/>
      <c r="W132" s="47">
        <f>W131*W105/1000</f>
        <v>166908.05176174999</v>
      </c>
      <c r="X132" s="17">
        <f>X131*X105/1000</f>
        <v>166908.05176174999</v>
      </c>
      <c r="Y132" s="17"/>
      <c r="Z132" s="16"/>
    </row>
    <row r="133" spans="1:26" s="6" customFormat="1" x14ac:dyDescent="0.3">
      <c r="A133" s="205"/>
      <c r="B133" s="181" t="s">
        <v>298</v>
      </c>
      <c r="C133" s="205">
        <f>(C130-C132)/(C129*'huile colza tournesol soja'!$D$6)</f>
        <v>33992.260588244972</v>
      </c>
      <c r="D133" s="181">
        <f>(D130-D132)/(D129*'huile colza tournesol soja'!$D$6)</f>
        <v>97258.144314327845</v>
      </c>
      <c r="E133" s="181">
        <f>(E130-E132)/(E129*'huile colza tournesol soja'!$D$6)</f>
        <v>71258.585723740878</v>
      </c>
      <c r="F133" s="181">
        <f>(F130-F132)/(F129*'huile colza tournesol soja'!$D$6)</f>
        <v>61168.910942837254</v>
      </c>
      <c r="G133" s="181">
        <f>(G130-G132)/(G129*'huile colza tournesol soja'!$D$6)</f>
        <v>135677.03490156334</v>
      </c>
      <c r="H133" s="181">
        <f>(H130-H132)/(H129*'huile colza tournesol soja'!$D$6)</f>
        <v>70834.265666579275</v>
      </c>
      <c r="I133" s="181">
        <f>(I130-I132)/(I129*'huile colza tournesol soja'!$D$6)</f>
        <v>59194.401754983366</v>
      </c>
      <c r="J133" s="181">
        <f>(J130-J132)/(J129*'huile colza tournesol soja'!$D$6)</f>
        <v>65064.278387790713</v>
      </c>
      <c r="K133" s="181">
        <f>(K130-K132)/(K129*'huile colza tournesol soja'!$D$6)</f>
        <v>67030.629988550791</v>
      </c>
      <c r="L133" s="181">
        <f>(L130-L132)/(L129*'huile colza tournesol soja'!$D$6)</f>
        <v>10708.430243992996</v>
      </c>
      <c r="M133" s="181">
        <f>(M130-M132)/(M129*'huile colza tournesol soja'!$D$6)</f>
        <v>2213.9245547167143</v>
      </c>
      <c r="N133" s="181">
        <f>(N130-N132)/(N129*'huile colza tournesol soja'!$D$6)</f>
        <v>1841.9629326042457</v>
      </c>
      <c r="O133" s="181">
        <f>(O130-O132)/(O129*'huile colza tournesol soja'!$D$6)</f>
        <v>40034.717120900343</v>
      </c>
      <c r="P133" s="181">
        <f>(P130-P132)/(P129*'huile colza tournesol soja'!$D$6)</f>
        <v>36710.856076017946</v>
      </c>
      <c r="Q133" s="181"/>
      <c r="R133" s="181"/>
      <c r="S133" s="181"/>
      <c r="T133" s="181"/>
      <c r="U133" s="181"/>
      <c r="V133" s="181"/>
      <c r="W133" s="181">
        <f>(W130-W132)/(W129*'huile colza tournesol soja'!$D$6)</f>
        <v>20172.156324288499</v>
      </c>
      <c r="X133" s="206">
        <f>(X130-X132)/(X129*'huile colza tournesol soja'!$D$6)</f>
        <v>20172.156324288499</v>
      </c>
      <c r="Y133" s="286">
        <f>AVERAGE(L130:P130)/AVERAGE(L132:P132)</f>
        <v>1.1628597594669443</v>
      </c>
      <c r="Z133" s="287">
        <f>X130/X132</f>
        <v>1.1699382906228506</v>
      </c>
    </row>
    <row r="134" spans="1:26" s="6" customFormat="1" x14ac:dyDescent="0.3">
      <c r="A134" s="144"/>
      <c r="B134" s="70" t="s">
        <v>392</v>
      </c>
      <c r="C134" s="418">
        <v>692265</v>
      </c>
      <c r="D134" s="244">
        <v>740710</v>
      </c>
      <c r="E134" s="244">
        <v>680344</v>
      </c>
      <c r="F134" s="244">
        <v>769992</v>
      </c>
      <c r="G134" s="244">
        <v>657178</v>
      </c>
      <c r="H134" s="244">
        <v>617904</v>
      </c>
      <c r="I134" s="244">
        <v>535762</v>
      </c>
      <c r="J134" s="244">
        <v>584810</v>
      </c>
      <c r="K134" s="244">
        <v>550473</v>
      </c>
      <c r="L134" s="244">
        <v>602117</v>
      </c>
      <c r="M134" s="244">
        <v>777344</v>
      </c>
      <c r="N134" s="244">
        <v>698359</v>
      </c>
      <c r="O134" s="244">
        <v>870563</v>
      </c>
      <c r="P134" s="244">
        <v>823284</v>
      </c>
      <c r="Q134" s="244"/>
      <c r="R134" s="244"/>
      <c r="S134" s="244"/>
      <c r="T134" s="244"/>
      <c r="U134" s="244"/>
      <c r="V134" s="244"/>
      <c r="W134" s="247">
        <f>AVERAGE(N134:P134)</f>
        <v>797402</v>
      </c>
      <c r="X134" s="438">
        <f>W134</f>
        <v>797402</v>
      </c>
      <c r="Y134" s="292"/>
      <c r="Z134" s="293"/>
    </row>
    <row r="135" spans="1:26" s="3" customFormat="1" x14ac:dyDescent="0.3">
      <c r="A135" s="16"/>
      <c r="B135" s="47" t="s">
        <v>139</v>
      </c>
      <c r="C135" s="58">
        <f t="shared" ref="C135:V135" si="27">C134*$F$69</f>
        <v>449972.25</v>
      </c>
      <c r="D135" s="53">
        <f t="shared" si="27"/>
        <v>481461.5</v>
      </c>
      <c r="E135" s="53">
        <f t="shared" si="27"/>
        <v>442223.60000000003</v>
      </c>
      <c r="F135" s="53">
        <f t="shared" si="27"/>
        <v>500494.8</v>
      </c>
      <c r="G135" s="53">
        <f t="shared" si="27"/>
        <v>427165.7</v>
      </c>
      <c r="H135" s="53">
        <f t="shared" si="27"/>
        <v>401637.60000000003</v>
      </c>
      <c r="I135" s="53">
        <f t="shared" si="27"/>
        <v>348245.3</v>
      </c>
      <c r="J135" s="53">
        <f t="shared" si="27"/>
        <v>380126.5</v>
      </c>
      <c r="K135" s="53">
        <f t="shared" si="27"/>
        <v>357807.45</v>
      </c>
      <c r="L135" s="53">
        <f t="shared" si="27"/>
        <v>391376.05</v>
      </c>
      <c r="M135" s="53">
        <f t="shared" si="27"/>
        <v>505273.60000000003</v>
      </c>
      <c r="N135" s="53">
        <f t="shared" si="27"/>
        <v>453933.35000000003</v>
      </c>
      <c r="O135" s="53">
        <f t="shared" si="27"/>
        <v>565865.95000000007</v>
      </c>
      <c r="P135" s="53">
        <f t="shared" si="27"/>
        <v>535134.6</v>
      </c>
      <c r="Q135" s="53">
        <f t="shared" si="27"/>
        <v>0</v>
      </c>
      <c r="R135" s="53">
        <f t="shared" si="27"/>
        <v>0</v>
      </c>
      <c r="S135" s="53">
        <f t="shared" si="27"/>
        <v>0</v>
      </c>
      <c r="T135" s="53">
        <f t="shared" si="27"/>
        <v>0</v>
      </c>
      <c r="U135" s="53">
        <f t="shared" si="27"/>
        <v>0</v>
      </c>
      <c r="V135" s="53">
        <f t="shared" si="27"/>
        <v>0</v>
      </c>
      <c r="W135" s="47">
        <f>AVERAGE(N135:P135)</f>
        <v>518311.3</v>
      </c>
      <c r="X135" s="17">
        <f>W135</f>
        <v>518311.3</v>
      </c>
      <c r="Y135" s="13"/>
      <c r="Z135" s="12"/>
    </row>
    <row r="136" spans="1:26" s="4" customFormat="1" x14ac:dyDescent="0.3">
      <c r="A136" s="14" t="s">
        <v>68</v>
      </c>
      <c r="B136" s="48" t="s">
        <v>2</v>
      </c>
      <c r="C136" s="235">
        <v>2.36</v>
      </c>
      <c r="D136" s="236">
        <v>2.5299999999999998</v>
      </c>
      <c r="E136" s="236">
        <v>2.33</v>
      </c>
      <c r="F136" s="236">
        <v>2.04</v>
      </c>
      <c r="G136" s="236">
        <v>2.41</v>
      </c>
      <c r="H136" s="236">
        <v>1.93</v>
      </c>
      <c r="I136" s="236">
        <v>2.1800000000000002</v>
      </c>
      <c r="J136" s="236">
        <v>2.73</v>
      </c>
      <c r="K136" s="236">
        <v>2.2400000000000002</v>
      </c>
      <c r="L136" s="236">
        <v>2.15</v>
      </c>
      <c r="M136" s="236">
        <v>2.0699999999999998</v>
      </c>
      <c r="N136" s="236">
        <v>2.74</v>
      </c>
      <c r="O136" s="236">
        <v>2.0699999999999998</v>
      </c>
      <c r="P136" s="236">
        <v>2.5</v>
      </c>
      <c r="Q136" s="236"/>
      <c r="R136" s="236"/>
      <c r="S136" s="236"/>
      <c r="T136" s="239"/>
      <c r="U136" s="239"/>
      <c r="V136" s="236"/>
      <c r="W136" s="92">
        <f>AVERAGE(L136:P136)*(1+'Hypothèses production'!B3)</f>
        <v>2.306</v>
      </c>
      <c r="X136" s="208">
        <f>W136</f>
        <v>2.306</v>
      </c>
      <c r="Y136" s="15"/>
      <c r="Z136" s="14"/>
    </row>
    <row r="137" spans="1:26" s="3" customFormat="1" x14ac:dyDescent="0.3">
      <c r="A137" s="16" t="s">
        <v>67</v>
      </c>
      <c r="B137" s="47" t="s">
        <v>238</v>
      </c>
      <c r="C137" s="16">
        <f>C136*C135*'huile colza tournesol soja'!$D$7</f>
        <v>477870.5295</v>
      </c>
      <c r="D137" s="47">
        <f>D136*D135*'huile colza tournesol soja'!$D$7</f>
        <v>548143.91775000002</v>
      </c>
      <c r="E137" s="47">
        <f>E136*E135*'huile colza tournesol soja'!$D$7</f>
        <v>463671.44460000005</v>
      </c>
      <c r="F137" s="47">
        <f>F136*F135*'huile colza tournesol soja'!$D$7</f>
        <v>459454.22639999999</v>
      </c>
      <c r="G137" s="47">
        <f>G136*G135*'huile colza tournesol soja'!$D$7</f>
        <v>463261.20165000006</v>
      </c>
      <c r="H137" s="47">
        <f>H136*H135*'huile colza tournesol soja'!$D$7</f>
        <v>348822.25560000003</v>
      </c>
      <c r="I137" s="47">
        <f>I136*I135*'huile colza tournesol soja'!$D$7</f>
        <v>341628.63930000004</v>
      </c>
      <c r="J137" s="47">
        <f>J136*J135*'huile colza tournesol soja'!$D$7</f>
        <v>466985.40525000001</v>
      </c>
      <c r="K137" s="47">
        <f>K136*K135*'huile colza tournesol soja'!$D$7</f>
        <v>360669.90960000007</v>
      </c>
      <c r="L137" s="47">
        <f>L136*L135*'huile colza tournesol soja'!$D$7</f>
        <v>378656.32837499998</v>
      </c>
      <c r="M137" s="47">
        <f>M136*M135*'huile colza tournesol soja'!$D$7</f>
        <v>470662.35839999997</v>
      </c>
      <c r="N137" s="47">
        <f>N136*N135*'huile colza tournesol soja'!$D$7</f>
        <v>559699.82055000006</v>
      </c>
      <c r="O137" s="47">
        <f>O136*O135*'huile colza tournesol soja'!$D$7</f>
        <v>527104.13242500008</v>
      </c>
      <c r="P137" s="47">
        <f>P136*P135*'huile colza tournesol soja'!$D$7</f>
        <v>602026.42500000005</v>
      </c>
      <c r="Q137" s="47">
        <f>Q136*Q135*'huile colza tournesol soja'!$D$7</f>
        <v>0</v>
      </c>
      <c r="R137" s="47">
        <f>R136*R135*'huile colza tournesol soja'!$D$7</f>
        <v>0</v>
      </c>
      <c r="S137" s="47">
        <f>S136*S135*'huile colza tournesol soja'!$D$7</f>
        <v>0</v>
      </c>
      <c r="T137" s="47">
        <f>T136*T135*'huile colza tournesol soja'!$D$7</f>
        <v>0</v>
      </c>
      <c r="U137" s="47">
        <f>U136*U135*'huile colza tournesol soja'!$D$7</f>
        <v>0</v>
      </c>
      <c r="V137" s="47">
        <f>V136*V135*'huile colza tournesol soja'!$D$7</f>
        <v>0</v>
      </c>
      <c r="W137" s="47">
        <f>W136*W135*'huile colza tournesol soja'!$D$7</f>
        <v>537851.63601000002</v>
      </c>
      <c r="X137" s="17">
        <f>X136*X135*'huile colza tournesol soja'!$D$7</f>
        <v>537851.63601000002</v>
      </c>
      <c r="Y137" s="17"/>
      <c r="Z137" s="100"/>
    </row>
    <row r="138" spans="1:26" s="4" customFormat="1" x14ac:dyDescent="0.3">
      <c r="A138" s="14"/>
      <c r="B138" s="48" t="s">
        <v>430</v>
      </c>
      <c r="C138" s="442">
        <f>'Calcul R84'!C7</f>
        <v>3.9</v>
      </c>
      <c r="D138" s="92">
        <f>'Calcul R84'!D7</f>
        <v>4.7</v>
      </c>
      <c r="E138" s="92">
        <f>'Calcul R84'!E7</f>
        <v>4.7</v>
      </c>
      <c r="F138" s="92">
        <f>'Calcul R84'!F7</f>
        <v>5.4</v>
      </c>
      <c r="G138" s="92">
        <f>'Calcul R84'!G7</f>
        <v>4.9000000000000004</v>
      </c>
      <c r="H138" s="92">
        <f>'Calcul R84'!H7</f>
        <v>4.9000000000000004</v>
      </c>
      <c r="I138" s="92">
        <f>'Calcul R84'!I7</f>
        <v>4.9000000000000004</v>
      </c>
      <c r="J138" s="92">
        <f>'Calcul R84'!J7</f>
        <v>4.9000000000000004</v>
      </c>
      <c r="K138" s="92">
        <f>'Calcul R84'!K7</f>
        <v>4.9000000000000004</v>
      </c>
      <c r="L138" s="92">
        <f>'Calcul R84'!L7</f>
        <v>4.9000000000000004</v>
      </c>
      <c r="M138" s="92">
        <f>'Calcul R84'!M7</f>
        <v>4.9000000000000004</v>
      </c>
      <c r="N138" s="92">
        <f>'Calcul R84'!N7</f>
        <v>4.9000000000000004</v>
      </c>
      <c r="O138" s="92">
        <f>'Calcul R84'!O7</f>
        <v>4.9000000000000004</v>
      </c>
      <c r="P138" s="92">
        <f>'Calcul R84'!P7</f>
        <v>4.9000000000000004</v>
      </c>
      <c r="Q138" s="92">
        <f>'Calcul R84'!Q7</f>
        <v>0</v>
      </c>
      <c r="R138" s="92">
        <f>'Calcul R84'!R7</f>
        <v>0</v>
      </c>
      <c r="S138" s="92">
        <f>'Calcul R84'!S7</f>
        <v>0</v>
      </c>
      <c r="T138" s="92">
        <f>'Calcul R84'!T7</f>
        <v>0</v>
      </c>
      <c r="U138" s="92">
        <f>'Calcul R84'!U7</f>
        <v>0</v>
      </c>
      <c r="V138" s="92">
        <f>'Calcul R84'!V7</f>
        <v>0</v>
      </c>
      <c r="W138" s="92">
        <f>'Calcul R84'!W7</f>
        <v>4.9000000000000004</v>
      </c>
      <c r="X138" s="208">
        <f>'Calcul R84'!X7</f>
        <v>4.9000000000000004</v>
      </c>
      <c r="Y138" s="15"/>
      <c r="Z138" s="14"/>
    </row>
    <row r="139" spans="1:26" s="3" customFormat="1" x14ac:dyDescent="0.3">
      <c r="A139" s="16"/>
      <c r="B139" s="47" t="s">
        <v>297</v>
      </c>
      <c r="C139" s="16">
        <f t="shared" ref="C139:V139" si="28">C138*C105/1000</f>
        <v>244784.41649999999</v>
      </c>
      <c r="D139" s="47">
        <f t="shared" si="28"/>
        <v>296430.61680000002</v>
      </c>
      <c r="E139" s="47">
        <f t="shared" si="28"/>
        <v>297867.0637</v>
      </c>
      <c r="F139" s="47">
        <f t="shared" si="28"/>
        <v>343968.47100000002</v>
      </c>
      <c r="G139" s="47">
        <f t="shared" si="28"/>
        <v>313736.99420000007</v>
      </c>
      <c r="H139" s="47">
        <f t="shared" si="28"/>
        <v>315074.02290000004</v>
      </c>
      <c r="I139" s="47">
        <f t="shared" si="28"/>
        <v>315897.0808</v>
      </c>
      <c r="J139" s="47">
        <f t="shared" si="28"/>
        <v>316731.75170000002</v>
      </c>
      <c r="K139" s="47">
        <f t="shared" si="28"/>
        <v>317735.78130000003</v>
      </c>
      <c r="L139" s="47">
        <f t="shared" si="28"/>
        <v>318974.16320000007</v>
      </c>
      <c r="M139" s="47">
        <f t="shared" si="28"/>
        <v>319818.85460000002</v>
      </c>
      <c r="N139" s="47">
        <f t="shared" si="28"/>
        <v>320975.54370000004</v>
      </c>
      <c r="O139" s="47">
        <f t="shared" si="28"/>
        <v>322036.97190000006</v>
      </c>
      <c r="P139" s="47">
        <f t="shared" si="28"/>
        <v>323037.20890000003</v>
      </c>
      <c r="Q139" s="47">
        <f t="shared" si="28"/>
        <v>0</v>
      </c>
      <c r="R139" s="47">
        <f t="shared" si="28"/>
        <v>0</v>
      </c>
      <c r="S139" s="47">
        <f t="shared" si="28"/>
        <v>0</v>
      </c>
      <c r="T139" s="47">
        <f t="shared" si="28"/>
        <v>0</v>
      </c>
      <c r="U139" s="47">
        <f t="shared" si="28"/>
        <v>0</v>
      </c>
      <c r="V139" s="47">
        <f t="shared" si="28"/>
        <v>0</v>
      </c>
      <c r="W139" s="47">
        <f>W138*W105/1000</f>
        <v>327139.78145303001</v>
      </c>
      <c r="X139" s="17">
        <f>X138*X105/1000</f>
        <v>327139.78145303001</v>
      </c>
      <c r="Y139" s="17"/>
      <c r="Z139" s="16"/>
    </row>
    <row r="140" spans="1:26" s="6" customFormat="1" x14ac:dyDescent="0.3">
      <c r="A140" s="205"/>
      <c r="B140" s="181" t="s">
        <v>298</v>
      </c>
      <c r="C140" s="205">
        <f>(C137-C139)/(C136*'huile colza tournesol soja'!$D$7)</f>
        <v>219478.44915254237</v>
      </c>
      <c r="D140" s="181">
        <f>(D137-D139)/(D136*'huile colza tournesol soja'!$D$7)</f>
        <v>221092.05177865617</v>
      </c>
      <c r="E140" s="181">
        <f>(E137-E139)/(E136*'huile colza tournesol soja'!$D$7)</f>
        <v>158134.84110634244</v>
      </c>
      <c r="F140" s="181">
        <f>(F137-F139)/(F136*'huile colza tournesol soja'!$D$7)</f>
        <v>125801.4764705882</v>
      </c>
      <c r="G140" s="181">
        <f>(G137-G139)/(G136*'huile colza tournesol soja'!$D$7)</f>
        <v>137873.86579068695</v>
      </c>
      <c r="H140" s="181">
        <f>(H137-H139)/(H136*'huile colza tournesol soja'!$D$7)</f>
        <v>38858.068739205519</v>
      </c>
      <c r="I140" s="181">
        <f>(I137-I139)/(I136*'huile colza tournesol soja'!$D$7)</f>
        <v>26229.927115188624</v>
      </c>
      <c r="J140" s="181">
        <f>(J137-J139)/(J136*'huile colza tournesol soja'!$D$7)</f>
        <v>122306.59629629629</v>
      </c>
      <c r="K140" s="181">
        <f>(K137-K139)/(K136*'huile colza tournesol soja'!$D$7)</f>
        <v>42593.381250000028</v>
      </c>
      <c r="L140" s="181">
        <f>(L137-L139)/(L136*'huile colza tournesol soja'!$D$7)</f>
        <v>61686.992428940481</v>
      </c>
      <c r="M140" s="181">
        <f>(M137-M139)/(M136*'huile colza tournesol soja'!$D$7)</f>
        <v>161936.12860976913</v>
      </c>
      <c r="N140" s="181">
        <f>(N137-N139)/(N136*'huile colza tournesol soja'!$D$7)</f>
        <v>193612.55218978104</v>
      </c>
      <c r="O140" s="181">
        <f>(O137-O139)/(O136*'huile colza tournesol soja'!$D$7)</f>
        <v>220147.2469404187</v>
      </c>
      <c r="P140" s="181">
        <f>(P137-P139)/(P136*'huile colza tournesol soja'!$D$7)</f>
        <v>247990.41431111112</v>
      </c>
      <c r="Q140" s="181"/>
      <c r="R140" s="181"/>
      <c r="S140" s="181"/>
      <c r="T140" s="181"/>
      <c r="U140" s="181"/>
      <c r="V140" s="181"/>
      <c r="W140" s="181">
        <f>(W137-W139)/(W136*'huile colza tournesol soja'!$D$7)</f>
        <v>203056.61998358869</v>
      </c>
      <c r="X140" s="206">
        <f>(X137-X139)/(X136*'huile colza tournesol soja'!$D$7)</f>
        <v>203056.61998358869</v>
      </c>
      <c r="Y140" s="286">
        <f>AVERAGE(L137:P137)/AVERAGE(L139:P139)</f>
        <v>1.5815562471326134</v>
      </c>
      <c r="Z140" s="287">
        <f>X137/X139</f>
        <v>1.6441034276573407</v>
      </c>
    </row>
    <row r="141" spans="1:26" s="6" customFormat="1" x14ac:dyDescent="0.3">
      <c r="A141" s="144"/>
      <c r="B141" s="70" t="s">
        <v>392</v>
      </c>
      <c r="C141" s="418">
        <v>49736</v>
      </c>
      <c r="D141" s="244">
        <v>42456</v>
      </c>
      <c r="E141" s="244">
        <v>38152</v>
      </c>
      <c r="F141" s="244">
        <v>44114</v>
      </c>
      <c r="G141" s="244">
        <v>76654</v>
      </c>
      <c r="H141" s="244">
        <v>124198</v>
      </c>
      <c r="I141" s="244">
        <v>136518</v>
      </c>
      <c r="J141" s="244">
        <v>141829</v>
      </c>
      <c r="K141" s="244">
        <v>153853</v>
      </c>
      <c r="L141" s="244">
        <v>163800</v>
      </c>
      <c r="M141" s="244">
        <v>187068</v>
      </c>
      <c r="N141" s="244">
        <v>154382</v>
      </c>
      <c r="O141" s="244">
        <v>183906</v>
      </c>
      <c r="P141" s="244">
        <v>158080</v>
      </c>
      <c r="Q141" s="244"/>
      <c r="R141" s="244"/>
      <c r="S141" s="244"/>
      <c r="T141" s="244"/>
      <c r="U141" s="244"/>
      <c r="V141" s="244"/>
      <c r="W141" s="247">
        <f>AVERAGE(N141:P141)</f>
        <v>165456</v>
      </c>
      <c r="X141" s="438">
        <f>W141</f>
        <v>165456</v>
      </c>
      <c r="Y141" s="292"/>
      <c r="Z141" s="293"/>
    </row>
    <row r="142" spans="1:26" s="3" customFormat="1" x14ac:dyDescent="0.3">
      <c r="A142" s="16"/>
      <c r="B142" s="47" t="s">
        <v>139</v>
      </c>
      <c r="C142" s="58">
        <f t="shared" ref="C142:V142" si="29">C141*$F$70</f>
        <v>23437.238356164387</v>
      </c>
      <c r="D142" s="53">
        <f t="shared" si="29"/>
        <v>20006.663013698631</v>
      </c>
      <c r="E142" s="53">
        <f t="shared" si="29"/>
        <v>17978.476712328771</v>
      </c>
      <c r="F142" s="53">
        <f t="shared" si="29"/>
        <v>20787.967123287675</v>
      </c>
      <c r="G142" s="53">
        <f t="shared" si="29"/>
        <v>36121.884931506851</v>
      </c>
      <c r="H142" s="53">
        <f t="shared" si="29"/>
        <v>58526.180821917813</v>
      </c>
      <c r="I142" s="53">
        <f t="shared" si="29"/>
        <v>64331.769863013709</v>
      </c>
      <c r="J142" s="53">
        <f t="shared" si="29"/>
        <v>66834.487671232884</v>
      </c>
      <c r="K142" s="53">
        <f t="shared" si="29"/>
        <v>72500.591780821924</v>
      </c>
      <c r="L142" s="53">
        <f t="shared" si="29"/>
        <v>77187.945205479467</v>
      </c>
      <c r="M142" s="53">
        <f t="shared" si="29"/>
        <v>88152.591780821924</v>
      </c>
      <c r="N142" s="53">
        <f t="shared" si="29"/>
        <v>72749.873972602756</v>
      </c>
      <c r="O142" s="53">
        <f t="shared" si="29"/>
        <v>86662.553424657541</v>
      </c>
      <c r="P142" s="53">
        <f t="shared" si="29"/>
        <v>74492.493150684939</v>
      </c>
      <c r="Q142" s="53">
        <f t="shared" si="29"/>
        <v>0</v>
      </c>
      <c r="R142" s="53">
        <f t="shared" si="29"/>
        <v>0</v>
      </c>
      <c r="S142" s="53">
        <f t="shared" si="29"/>
        <v>0</v>
      </c>
      <c r="T142" s="53">
        <f t="shared" si="29"/>
        <v>0</v>
      </c>
      <c r="U142" s="53">
        <f t="shared" si="29"/>
        <v>0</v>
      </c>
      <c r="V142" s="53">
        <f t="shared" si="29"/>
        <v>0</v>
      </c>
      <c r="W142" s="47">
        <f>AVERAGE(N142:P142)</f>
        <v>77968.306849315079</v>
      </c>
      <c r="X142" s="17">
        <f>W142</f>
        <v>77968.306849315079</v>
      </c>
      <c r="Y142" s="13"/>
      <c r="Z142" s="12"/>
    </row>
    <row r="143" spans="1:26" s="4" customFormat="1" x14ac:dyDescent="0.3">
      <c r="A143" s="14"/>
      <c r="B143" s="48" t="s">
        <v>2</v>
      </c>
      <c r="C143" s="235">
        <v>2.76</v>
      </c>
      <c r="D143" s="236">
        <v>2.94</v>
      </c>
      <c r="E143" s="236">
        <v>2.77</v>
      </c>
      <c r="F143" s="236">
        <v>2.5499999999999998</v>
      </c>
      <c r="G143" s="236">
        <v>3</v>
      </c>
      <c r="H143" s="236">
        <v>2.74</v>
      </c>
      <c r="I143" s="236">
        <v>2.48</v>
      </c>
      <c r="J143" s="236">
        <v>2.93</v>
      </c>
      <c r="K143" s="236">
        <v>2.59</v>
      </c>
      <c r="L143" s="236">
        <v>2.62</v>
      </c>
      <c r="M143" s="236">
        <v>2.17</v>
      </c>
      <c r="N143" s="236">
        <v>2.85</v>
      </c>
      <c r="O143" s="236">
        <v>2.04</v>
      </c>
      <c r="P143" s="236">
        <v>2.44</v>
      </c>
      <c r="Q143" s="236"/>
      <c r="R143" s="236"/>
      <c r="S143" s="236"/>
      <c r="T143" s="239"/>
      <c r="U143" s="239"/>
      <c r="V143" s="236"/>
      <c r="W143" s="92">
        <f>AVERAGE(L143:P143)*(1+'Hypothèses production'!B3)</f>
        <v>2.4239999999999999</v>
      </c>
      <c r="X143" s="208">
        <f>W143</f>
        <v>2.4239999999999999</v>
      </c>
      <c r="Y143" s="15"/>
      <c r="Z143" s="14"/>
    </row>
    <row r="144" spans="1:26" s="3" customFormat="1" x14ac:dyDescent="0.3">
      <c r="A144" s="58" t="s">
        <v>85</v>
      </c>
      <c r="B144" s="47" t="s">
        <v>238</v>
      </c>
      <c r="C144" s="16">
        <f t="shared" ref="C144:V144" si="30">C143*C142</f>
        <v>64686.777863013704</v>
      </c>
      <c r="D144" s="47">
        <f t="shared" si="30"/>
        <v>58819.589260273977</v>
      </c>
      <c r="E144" s="47">
        <f t="shared" si="30"/>
        <v>49800.380493150697</v>
      </c>
      <c r="F144" s="47">
        <f t="shared" si="30"/>
        <v>53009.31616438357</v>
      </c>
      <c r="G144" s="47">
        <f t="shared" si="30"/>
        <v>108365.65479452055</v>
      </c>
      <c r="H144" s="47">
        <f t="shared" si="30"/>
        <v>160361.73545205483</v>
      </c>
      <c r="I144" s="47">
        <f t="shared" si="30"/>
        <v>159542.789260274</v>
      </c>
      <c r="J144" s="47">
        <f t="shared" si="30"/>
        <v>195825.04887671236</v>
      </c>
      <c r="K144" s="47">
        <f t="shared" si="30"/>
        <v>187776.53271232877</v>
      </c>
      <c r="L144" s="47">
        <f t="shared" si="30"/>
        <v>202232.41643835622</v>
      </c>
      <c r="M144" s="47">
        <f t="shared" si="30"/>
        <v>191291.12416438357</v>
      </c>
      <c r="N144" s="47">
        <f t="shared" si="30"/>
        <v>207337.14082191786</v>
      </c>
      <c r="O144" s="47">
        <f t="shared" si="30"/>
        <v>176791.60898630138</v>
      </c>
      <c r="P144" s="47">
        <f t="shared" si="30"/>
        <v>181761.68328767124</v>
      </c>
      <c r="Q144" s="47">
        <f t="shared" si="30"/>
        <v>0</v>
      </c>
      <c r="R144" s="47">
        <f t="shared" si="30"/>
        <v>0</v>
      </c>
      <c r="S144" s="47">
        <f t="shared" si="30"/>
        <v>0</v>
      </c>
      <c r="T144" s="47">
        <f t="shared" si="30"/>
        <v>0</v>
      </c>
      <c r="U144" s="47">
        <f t="shared" si="30"/>
        <v>0</v>
      </c>
      <c r="V144" s="47">
        <f t="shared" si="30"/>
        <v>0</v>
      </c>
      <c r="W144" s="47">
        <f>W143*W142</f>
        <v>188995.17580273974</v>
      </c>
      <c r="X144" s="17">
        <f>X143*X142</f>
        <v>188995.17580273974</v>
      </c>
      <c r="Y144" s="17"/>
      <c r="Z144" s="100"/>
    </row>
    <row r="145" spans="1:26" s="4" customFormat="1" x14ac:dyDescent="0.3">
      <c r="A145" s="14"/>
      <c r="B145" s="48" t="s">
        <v>299</v>
      </c>
      <c r="C145" s="20">
        <f>'Calcul R84'!C8</f>
        <v>5.0753163699225254</v>
      </c>
      <c r="D145" s="49">
        <f>'Calcul R84'!D8</f>
        <v>4.6846583506604969</v>
      </c>
      <c r="E145" s="49">
        <f>'Calcul R84'!E8</f>
        <v>5.9037975782586294</v>
      </c>
      <c r="F145" s="49">
        <f>'Calcul R84'!F8</f>
        <v>5.2303423958654891</v>
      </c>
      <c r="G145" s="49">
        <f>'Calcul R84'!G8</f>
        <v>5.2475364136380929</v>
      </c>
      <c r="H145" s="49">
        <f>'Calcul R84'!H8</f>
        <v>5.7602536847218557</v>
      </c>
      <c r="I145" s="49">
        <f>'Calcul R84'!I8</f>
        <v>7.2875443064326664</v>
      </c>
      <c r="J145" s="49">
        <f>'Calcul R84'!J8</f>
        <v>7.9973607590532616</v>
      </c>
      <c r="K145" s="49">
        <f>'Calcul R84'!K8</f>
        <v>6.0680899934529773</v>
      </c>
      <c r="L145" s="49">
        <f>'Calcul R84'!L8</f>
        <v>5.8490793949027031</v>
      </c>
      <c r="M145" s="49">
        <f>'Calcul R84'!M8</f>
        <v>6.346239735697158</v>
      </c>
      <c r="N145" s="49">
        <f>'Calcul R84'!N8</f>
        <v>5.4529174731169148</v>
      </c>
      <c r="O145" s="49">
        <f>'Calcul R84'!O8</f>
        <v>5.822130790762829</v>
      </c>
      <c r="P145" s="49">
        <f>'Calcul R84'!P8</f>
        <v>5.8443644419174756</v>
      </c>
      <c r="Q145" s="49">
        <f>'Calcul R84'!Q8</f>
        <v>0</v>
      </c>
      <c r="R145" s="49">
        <f>'Calcul R84'!R8</f>
        <v>0</v>
      </c>
      <c r="S145" s="49">
        <f>'Calcul R84'!S8</f>
        <v>0</v>
      </c>
      <c r="T145" s="49">
        <f>'Calcul R84'!T8</f>
        <v>0</v>
      </c>
      <c r="U145" s="49">
        <f>'Calcul R84'!U8</f>
        <v>0</v>
      </c>
      <c r="V145" s="49">
        <f>'Calcul R84'!V8</f>
        <v>0</v>
      </c>
      <c r="W145" s="49">
        <f>'Calcul R84'!W8</f>
        <v>6</v>
      </c>
      <c r="X145" s="21">
        <f>'Calcul R84'!X8</f>
        <v>6</v>
      </c>
      <c r="Y145" s="21"/>
      <c r="Z145" s="20"/>
    </row>
    <row r="146" spans="1:26" s="3" customFormat="1" x14ac:dyDescent="0.3">
      <c r="A146" s="16"/>
      <c r="B146" s="47" t="s">
        <v>297</v>
      </c>
      <c r="C146" s="16">
        <f>C145*C105/1000</f>
        <v>318553.42465753423</v>
      </c>
      <c r="D146" s="47">
        <f t="shared" ref="D146:N146" si="31">D145*D105/1000</f>
        <v>295463.01369863015</v>
      </c>
      <c r="E146" s="47">
        <f t="shared" si="31"/>
        <v>374158.90410958912</v>
      </c>
      <c r="F146" s="47">
        <f t="shared" si="31"/>
        <v>333161.64383561647</v>
      </c>
      <c r="G146" s="47">
        <f t="shared" si="31"/>
        <v>335989.04109589045</v>
      </c>
      <c r="H146" s="47">
        <f t="shared" si="31"/>
        <v>370389.04109589045</v>
      </c>
      <c r="I146" s="47">
        <f t="shared" si="31"/>
        <v>469819.17808219185</v>
      </c>
      <c r="J146" s="47">
        <f t="shared" si="31"/>
        <v>516942.46575342468</v>
      </c>
      <c r="K146" s="47">
        <f t="shared" si="31"/>
        <v>393479.45205479459</v>
      </c>
      <c r="L146" s="47">
        <f t="shared" si="31"/>
        <v>380756.1643835617</v>
      </c>
      <c r="M146" s="47">
        <f t="shared" si="31"/>
        <v>414213.69863013708</v>
      </c>
      <c r="N146" s="47">
        <f t="shared" si="31"/>
        <v>357194.52054794529</v>
      </c>
      <c r="O146" s="47">
        <f>O145*O105/1000</f>
        <v>382641.095890411</v>
      </c>
      <c r="P146" s="47">
        <f>P145*P105/1000</f>
        <v>385295.34226763825</v>
      </c>
      <c r="Q146" s="47"/>
      <c r="R146" s="47"/>
      <c r="S146" s="47"/>
      <c r="T146" s="47"/>
      <c r="U146" s="47"/>
      <c r="V146" s="47"/>
      <c r="W146" s="47">
        <f>W145*W105/1000</f>
        <v>400579.32422819996</v>
      </c>
      <c r="X146" s="17">
        <f>X145*X105/1000</f>
        <v>400579.32422819996</v>
      </c>
      <c r="Y146" s="17"/>
      <c r="Z146" s="16"/>
    </row>
    <row r="147" spans="1:26" s="6" customFormat="1" x14ac:dyDescent="0.3">
      <c r="A147" s="205"/>
      <c r="B147" s="181" t="s">
        <v>298</v>
      </c>
      <c r="C147" s="205">
        <f t="shared" ref="C147:P147" si="32">(C144-C146)/(C143)</f>
        <v>-91980.669128449474</v>
      </c>
      <c r="D147" s="181">
        <f t="shared" si="32"/>
        <v>-80490.960693318426</v>
      </c>
      <c r="E147" s="181">
        <f t="shared" si="32"/>
        <v>-117096.93993373228</v>
      </c>
      <c r="F147" s="181">
        <f t="shared" si="32"/>
        <v>-109863.65791028742</v>
      </c>
      <c r="G147" s="181">
        <f t="shared" si="32"/>
        <v>-75874.462100456629</v>
      </c>
      <c r="H147" s="181">
        <f t="shared" si="32"/>
        <v>-76652.301329867012</v>
      </c>
      <c r="I147" s="181">
        <f t="shared" si="32"/>
        <v>-125111.44710561202</v>
      </c>
      <c r="J147" s="181">
        <f t="shared" si="32"/>
        <v>-109596.3880125298</v>
      </c>
      <c r="K147" s="181">
        <f t="shared" si="32"/>
        <v>-79421.976580102637</v>
      </c>
      <c r="L147" s="181">
        <f t="shared" si="32"/>
        <v>-68138.835093589878</v>
      </c>
      <c r="M147" s="181">
        <f t="shared" si="32"/>
        <v>-102729.29698882651</v>
      </c>
      <c r="N147" s="181">
        <f t="shared" si="32"/>
        <v>-52581.536745974532</v>
      </c>
      <c r="O147" s="181">
        <f t="shared" si="32"/>
        <v>-100906.61122750472</v>
      </c>
      <c r="P147" s="181">
        <f t="shared" si="32"/>
        <v>-83415.434008183205</v>
      </c>
      <c r="Q147" s="181"/>
      <c r="R147" s="181"/>
      <c r="S147" s="181"/>
      <c r="T147" s="181"/>
      <c r="U147" s="181"/>
      <c r="V147" s="181"/>
      <c r="W147" s="181">
        <f>(W144-W146)/(W143)</f>
        <v>-87287.189944496786</v>
      </c>
      <c r="X147" s="206">
        <f>(X144-X146)/(X143)</f>
        <v>-87287.189944496786</v>
      </c>
      <c r="Y147" s="286">
        <f>AVERAGE(L144:P144)/AVERAGE(L146:P146)</f>
        <v>0.49966853971728092</v>
      </c>
      <c r="Z147" s="287">
        <f>X144/X146</f>
        <v>0.47180461988865396</v>
      </c>
    </row>
    <row r="148" spans="1:26" s="6" customFormat="1" x14ac:dyDescent="0.3">
      <c r="A148" s="144"/>
      <c r="B148" s="70" t="s">
        <v>392</v>
      </c>
      <c r="C148" s="418">
        <v>415176</v>
      </c>
      <c r="D148" s="244">
        <v>300597</v>
      </c>
      <c r="E148" s="244">
        <v>224720</v>
      </c>
      <c r="F148" s="244">
        <v>220434</v>
      </c>
      <c r="G148" s="244">
        <v>253354</v>
      </c>
      <c r="H148" s="244">
        <v>306267</v>
      </c>
      <c r="I148" s="244">
        <v>341205</v>
      </c>
      <c r="J148" s="244">
        <v>364103</v>
      </c>
      <c r="K148" s="244">
        <v>307431</v>
      </c>
      <c r="L148" s="244">
        <v>329290</v>
      </c>
      <c r="M148" s="244">
        <v>388403</v>
      </c>
      <c r="N148" s="244">
        <v>391933</v>
      </c>
      <c r="O148" s="244">
        <v>308686</v>
      </c>
      <c r="P148" s="244">
        <v>347995</v>
      </c>
      <c r="Q148" s="244"/>
      <c r="R148" s="244"/>
      <c r="S148" s="244"/>
      <c r="T148" s="244"/>
      <c r="U148" s="244"/>
      <c r="V148" s="244"/>
      <c r="W148" s="247">
        <f>AVERAGE(N148:P148)</f>
        <v>349538</v>
      </c>
      <c r="X148" s="438">
        <f>W148</f>
        <v>349538</v>
      </c>
      <c r="Y148" s="292"/>
      <c r="Z148" s="293"/>
    </row>
    <row r="149" spans="1:26" s="3" customFormat="1" x14ac:dyDescent="0.3">
      <c r="A149" s="16" t="s">
        <v>137</v>
      </c>
      <c r="B149" s="47" t="s">
        <v>139</v>
      </c>
      <c r="C149" s="58">
        <f t="shared" ref="C149:V149" si="33">C148*$G$73</f>
        <v>92574.657660303084</v>
      </c>
      <c r="D149" s="53">
        <f t="shared" si="33"/>
        <v>67026.187372859044</v>
      </c>
      <c r="E149" s="53">
        <f t="shared" si="33"/>
        <v>50107.3690902733</v>
      </c>
      <c r="F149" s="53">
        <f t="shared" si="33"/>
        <v>49151.690094541227</v>
      </c>
      <c r="G149" s="53">
        <f t="shared" si="33"/>
        <v>56492.089660453457</v>
      </c>
      <c r="H149" s="53">
        <f t="shared" si="33"/>
        <v>68290.466398944161</v>
      </c>
      <c r="I149" s="53">
        <f t="shared" si="33"/>
        <v>76080.833350154426</v>
      </c>
      <c r="J149" s="53">
        <f t="shared" si="33"/>
        <v>81186.55841881354</v>
      </c>
      <c r="K149" s="53">
        <f t="shared" si="33"/>
        <v>68550.011511177509</v>
      </c>
      <c r="L149" s="53">
        <f t="shared" si="33"/>
        <v>73424.063580171307</v>
      </c>
      <c r="M149" s="53">
        <f t="shared" si="33"/>
        <v>86604.897102035509</v>
      </c>
      <c r="N149" s="53">
        <f t="shared" si="33"/>
        <v>87392.005560956241</v>
      </c>
      <c r="O149" s="53">
        <f t="shared" si="33"/>
        <v>68829.847521360382</v>
      </c>
      <c r="P149" s="53">
        <f t="shared" si="33"/>
        <v>77594.84650484896</v>
      </c>
      <c r="Q149" s="53">
        <f t="shared" si="33"/>
        <v>0</v>
      </c>
      <c r="R149" s="53">
        <f t="shared" si="33"/>
        <v>0</v>
      </c>
      <c r="S149" s="53">
        <f t="shared" si="33"/>
        <v>0</v>
      </c>
      <c r="T149" s="53">
        <f t="shared" si="33"/>
        <v>0</v>
      </c>
      <c r="U149" s="53">
        <f t="shared" si="33"/>
        <v>0</v>
      </c>
      <c r="V149" s="53">
        <f t="shared" si="33"/>
        <v>0</v>
      </c>
      <c r="W149" s="47">
        <f>AVERAGE(N149:P149)</f>
        <v>77938.899862388542</v>
      </c>
      <c r="X149" s="17">
        <f>W149</f>
        <v>77938.899862388542</v>
      </c>
      <c r="Y149" s="13"/>
      <c r="Z149" s="12"/>
    </row>
    <row r="150" spans="1:26" s="4" customFormat="1" x14ac:dyDescent="0.3">
      <c r="A150" s="14" t="s">
        <v>223</v>
      </c>
      <c r="B150" s="48" t="s">
        <v>2</v>
      </c>
      <c r="C150" s="235">
        <v>3.75</v>
      </c>
      <c r="D150" s="236">
        <v>3.45</v>
      </c>
      <c r="E150" s="236">
        <v>3.82</v>
      </c>
      <c r="F150" s="236">
        <v>3.5</v>
      </c>
      <c r="G150" s="236">
        <v>3.38</v>
      </c>
      <c r="H150" s="236">
        <v>3.18</v>
      </c>
      <c r="I150" s="236">
        <v>2.4</v>
      </c>
      <c r="J150" s="236">
        <v>2.91</v>
      </c>
      <c r="K150" s="236">
        <v>2.75</v>
      </c>
      <c r="L150" s="236">
        <v>3.07</v>
      </c>
      <c r="M150" s="236">
        <v>2.38</v>
      </c>
      <c r="N150" s="236">
        <v>2.5499999999999998</v>
      </c>
      <c r="O150" s="236">
        <v>2.58</v>
      </c>
      <c r="P150" s="236">
        <v>2.82</v>
      </c>
      <c r="Q150" s="236"/>
      <c r="R150" s="443"/>
      <c r="S150" s="236"/>
      <c r="T150" s="239"/>
      <c r="U150" s="239"/>
      <c r="V150" s="236"/>
      <c r="W150" s="92">
        <f>AVERAGE(L150:P150)*(1+'Hypothèses production'!B4)</f>
        <v>2.6799999999999997</v>
      </c>
      <c r="X150" s="208">
        <f>W150</f>
        <v>2.6799999999999997</v>
      </c>
      <c r="Y150" s="15"/>
      <c r="Z150" s="14"/>
    </row>
    <row r="151" spans="1:26" s="3" customFormat="1" x14ac:dyDescent="0.3">
      <c r="A151" s="16" t="s">
        <v>224</v>
      </c>
      <c r="B151" s="47" t="s">
        <v>138</v>
      </c>
      <c r="C151" s="16">
        <f>C150*C149</f>
        <v>347154.96622613654</v>
      </c>
      <c r="D151" s="47">
        <f t="shared" ref="D151:V151" si="34">D150*D149</f>
        <v>231240.3464363637</v>
      </c>
      <c r="E151" s="47">
        <f t="shared" si="34"/>
        <v>191410.14992484401</v>
      </c>
      <c r="F151" s="47">
        <f t="shared" si="34"/>
        <v>172030.91533089429</v>
      </c>
      <c r="G151" s="47">
        <f t="shared" si="34"/>
        <v>190943.26305233268</v>
      </c>
      <c r="H151" s="47">
        <f t="shared" si="34"/>
        <v>217163.68314864245</v>
      </c>
      <c r="I151" s="47">
        <f t="shared" si="34"/>
        <v>182594.00004037062</v>
      </c>
      <c r="J151" s="47">
        <f t="shared" si="34"/>
        <v>236252.88499874741</v>
      </c>
      <c r="K151" s="47">
        <f t="shared" si="34"/>
        <v>188512.53165573816</v>
      </c>
      <c r="L151" s="47">
        <f t="shared" si="34"/>
        <v>225411.8751911259</v>
      </c>
      <c r="M151" s="47">
        <f t="shared" si="34"/>
        <v>206119.6551028445</v>
      </c>
      <c r="N151" s="47">
        <f t="shared" si="34"/>
        <v>222849.6141804384</v>
      </c>
      <c r="O151" s="47">
        <f t="shared" si="34"/>
        <v>177581.00660510978</v>
      </c>
      <c r="P151" s="47">
        <f t="shared" si="34"/>
        <v>218817.46714367406</v>
      </c>
      <c r="Q151" s="47">
        <f t="shared" si="34"/>
        <v>0</v>
      </c>
      <c r="R151" s="47">
        <f t="shared" si="34"/>
        <v>0</v>
      </c>
      <c r="S151" s="47">
        <f t="shared" si="34"/>
        <v>0</v>
      </c>
      <c r="T151" s="47">
        <f t="shared" si="34"/>
        <v>0</v>
      </c>
      <c r="U151" s="47">
        <f t="shared" si="34"/>
        <v>0</v>
      </c>
      <c r="V151" s="47">
        <f t="shared" si="34"/>
        <v>0</v>
      </c>
      <c r="W151" s="47">
        <f t="shared" ref="W151:X151" si="35">W150*W149</f>
        <v>208876.25163120127</v>
      </c>
      <c r="X151" s="17">
        <f t="shared" si="35"/>
        <v>208876.25163120127</v>
      </c>
      <c r="Y151" s="17"/>
      <c r="Z151" s="100"/>
    </row>
    <row r="152" spans="1:26" s="4" customFormat="1" x14ac:dyDescent="0.3">
      <c r="A152" s="14" t="s">
        <v>225</v>
      </c>
      <c r="B152" s="48" t="s">
        <v>430</v>
      </c>
      <c r="C152" s="14">
        <f>'Calcul R84'!C9</f>
        <v>1.7</v>
      </c>
      <c r="D152" s="48">
        <f>'Calcul R84'!D9</f>
        <v>1.7</v>
      </c>
      <c r="E152" s="48">
        <f>'Calcul R84'!E9</f>
        <v>1.7</v>
      </c>
      <c r="F152" s="48">
        <f>'Calcul R84'!F9</f>
        <v>1.7</v>
      </c>
      <c r="G152" s="48">
        <f>'Calcul R84'!G9</f>
        <v>1.8</v>
      </c>
      <c r="H152" s="48">
        <f>'Calcul R84'!H9</f>
        <v>1.3</v>
      </c>
      <c r="I152" s="48">
        <f>'Calcul R84'!I9</f>
        <v>1.6</v>
      </c>
      <c r="J152" s="48">
        <f>'Calcul R84'!J9</f>
        <v>2</v>
      </c>
      <c r="K152" s="48">
        <f>'Calcul R84'!K9</f>
        <v>2.2999999999999998</v>
      </c>
      <c r="L152" s="48">
        <f>'Calcul R84'!L9</f>
        <v>2.5</v>
      </c>
      <c r="M152" s="48">
        <f>'Calcul R84'!M9</f>
        <v>2.5</v>
      </c>
      <c r="N152" s="48">
        <f>'Calcul R84'!N9</f>
        <v>2.1</v>
      </c>
      <c r="O152" s="48">
        <f>'Calcul R84'!O9</f>
        <v>2.6</v>
      </c>
      <c r="P152" s="48">
        <f>'Calcul R84'!P9</f>
        <v>2.65</v>
      </c>
      <c r="Q152" s="48">
        <f>'Calcul R84'!Q9</f>
        <v>0</v>
      </c>
      <c r="R152" s="48">
        <f>'Calcul R84'!R9</f>
        <v>0</v>
      </c>
      <c r="S152" s="48">
        <f>'Calcul R84'!S9</f>
        <v>0</v>
      </c>
      <c r="T152" s="48">
        <f>'Calcul R84'!T9</f>
        <v>0</v>
      </c>
      <c r="U152" s="48">
        <f>'Calcul R84'!U9</f>
        <v>0</v>
      </c>
      <c r="V152" s="48">
        <f>'Calcul R84'!V9</f>
        <v>0</v>
      </c>
      <c r="W152" s="48">
        <f>'Calcul R84'!W9</f>
        <v>3</v>
      </c>
      <c r="X152" s="15">
        <f>'Calcul R84'!X9</f>
        <v>3.3000000000000003</v>
      </c>
      <c r="Y152" s="15"/>
      <c r="Z152" s="14"/>
    </row>
    <row r="153" spans="1:26" s="3" customFormat="1" x14ac:dyDescent="0.3">
      <c r="A153" s="16" t="s">
        <v>226</v>
      </c>
      <c r="B153" s="47" t="s">
        <v>297</v>
      </c>
      <c r="C153" s="16">
        <f>C152*C105/1000</f>
        <v>106700.8995</v>
      </c>
      <c r="D153" s="47">
        <f t="shared" ref="D153:V153" si="36">D152*D105/1000</f>
        <v>107219.5848</v>
      </c>
      <c r="E153" s="47">
        <f t="shared" si="36"/>
        <v>107739.1507</v>
      </c>
      <c r="F153" s="47">
        <f t="shared" si="36"/>
        <v>108286.3705</v>
      </c>
      <c r="G153" s="47">
        <f t="shared" si="36"/>
        <v>115250.32440000001</v>
      </c>
      <c r="H153" s="47">
        <f t="shared" si="36"/>
        <v>83591.067299999995</v>
      </c>
      <c r="I153" s="47">
        <f t="shared" si="36"/>
        <v>103150.0672</v>
      </c>
      <c r="J153" s="47">
        <f t="shared" si="36"/>
        <v>129278.266</v>
      </c>
      <c r="K153" s="47">
        <f t="shared" si="36"/>
        <v>149141.28510000001</v>
      </c>
      <c r="L153" s="47">
        <f t="shared" si="36"/>
        <v>162741.92000000001</v>
      </c>
      <c r="M153" s="47">
        <f t="shared" si="36"/>
        <v>163172.88500000001</v>
      </c>
      <c r="N153" s="47">
        <f t="shared" si="36"/>
        <v>137560.9473</v>
      </c>
      <c r="O153" s="47">
        <f t="shared" si="36"/>
        <v>170876.76059999998</v>
      </c>
      <c r="P153" s="47">
        <f t="shared" si="36"/>
        <v>174703.79665</v>
      </c>
      <c r="Q153" s="47">
        <f t="shared" si="36"/>
        <v>0</v>
      </c>
      <c r="R153" s="47">
        <f t="shared" si="36"/>
        <v>0</v>
      </c>
      <c r="S153" s="47">
        <f t="shared" si="36"/>
        <v>0</v>
      </c>
      <c r="T153" s="47">
        <f t="shared" si="36"/>
        <v>0</v>
      </c>
      <c r="U153" s="47">
        <f t="shared" si="36"/>
        <v>0</v>
      </c>
      <c r="V153" s="47">
        <f t="shared" si="36"/>
        <v>0</v>
      </c>
      <c r="W153" s="47">
        <f>W152*W105/1000</f>
        <v>200289.66211409998</v>
      </c>
      <c r="X153" s="17">
        <f>X152*X105/1000</f>
        <v>220318.62832550998</v>
      </c>
      <c r="Y153" s="17"/>
      <c r="Z153" s="16"/>
    </row>
    <row r="154" spans="1:26" s="6" customFormat="1" x14ac:dyDescent="0.3">
      <c r="A154" s="58" t="s">
        <v>227</v>
      </c>
      <c r="B154" s="181" t="s">
        <v>298</v>
      </c>
      <c r="C154" s="205">
        <f t="shared" ref="C154:P154" si="37">(C151-C153)/C150</f>
        <v>64121.084460303078</v>
      </c>
      <c r="D154" s="181">
        <f t="shared" si="37"/>
        <v>35948.046851119914</v>
      </c>
      <c r="E154" s="181">
        <f t="shared" si="37"/>
        <v>21903.402938440842</v>
      </c>
      <c r="F154" s="181">
        <f t="shared" si="37"/>
        <v>18212.727094541224</v>
      </c>
      <c r="G154" s="181">
        <f t="shared" si="37"/>
        <v>22394.360548027416</v>
      </c>
      <c r="H154" s="181">
        <f t="shared" si="37"/>
        <v>42003.967248000772</v>
      </c>
      <c r="I154" s="181">
        <f t="shared" si="37"/>
        <v>33101.638683487756</v>
      </c>
      <c r="J154" s="181">
        <f t="shared" si="37"/>
        <v>36761.037456614227</v>
      </c>
      <c r="K154" s="181">
        <f t="shared" si="37"/>
        <v>14316.816929359327</v>
      </c>
      <c r="L154" s="181">
        <f t="shared" si="37"/>
        <v>20413.666186034494</v>
      </c>
      <c r="M154" s="181">
        <f t="shared" si="37"/>
        <v>18044.861387749785</v>
      </c>
      <c r="N154" s="181">
        <f t="shared" si="37"/>
        <v>33446.53603154447</v>
      </c>
      <c r="O154" s="181">
        <f t="shared" si="37"/>
        <v>2598.5449632208533</v>
      </c>
      <c r="P154" s="181">
        <f t="shared" si="37"/>
        <v>15643.145565132645</v>
      </c>
      <c r="Q154" s="181"/>
      <c r="R154" s="181"/>
      <c r="S154" s="181"/>
      <c r="T154" s="181"/>
      <c r="U154" s="181"/>
      <c r="V154" s="181"/>
      <c r="W154" s="181">
        <f>(W151-W153)/W150</f>
        <v>3203.9513123512302</v>
      </c>
      <c r="X154" s="206">
        <f>(X151-X153)/X150</f>
        <v>-4269.5435426525046</v>
      </c>
      <c r="Y154" s="286">
        <f>AVERAGE(L151:P151)/AVERAGE(L153:P153)</f>
        <v>1.2987719220775127</v>
      </c>
      <c r="Z154" s="287"/>
    </row>
    <row r="155" spans="1:26" s="6" customFormat="1" x14ac:dyDescent="0.3">
      <c r="A155" s="233"/>
      <c r="B155" s="70" t="s">
        <v>392</v>
      </c>
      <c r="C155" s="418">
        <v>22799</v>
      </c>
      <c r="D155" s="244">
        <v>21960</v>
      </c>
      <c r="E155" s="244">
        <v>21474</v>
      </c>
      <c r="F155" s="244">
        <v>19752</v>
      </c>
      <c r="G155" s="244">
        <v>19789</v>
      </c>
      <c r="H155" s="244">
        <v>19337</v>
      </c>
      <c r="I155" s="244">
        <v>18672</v>
      </c>
      <c r="J155" s="244">
        <v>18870</v>
      </c>
      <c r="K155" s="244">
        <v>18882</v>
      </c>
      <c r="L155" s="244">
        <v>17504</v>
      </c>
      <c r="M155" s="244">
        <v>17716</v>
      </c>
      <c r="N155" s="244">
        <v>16423</v>
      </c>
      <c r="O155" s="244">
        <v>16375</v>
      </c>
      <c r="P155" s="244">
        <v>15201</v>
      </c>
      <c r="Q155" s="244"/>
      <c r="R155" s="244"/>
      <c r="S155" s="244"/>
      <c r="T155" s="244"/>
      <c r="U155" s="244"/>
      <c r="V155" s="244"/>
      <c r="W155" s="247">
        <f>AVERAGE(N155:P155)</f>
        <v>15999.666666666666</v>
      </c>
      <c r="X155" s="438">
        <f>W155</f>
        <v>15999.666666666666</v>
      </c>
      <c r="Y155" s="292"/>
      <c r="Z155" s="293"/>
    </row>
    <row r="156" spans="1:26" s="3" customFormat="1" x14ac:dyDescent="0.3">
      <c r="A156" s="16"/>
      <c r="B156" s="47" t="s">
        <v>139</v>
      </c>
      <c r="C156" s="58">
        <f t="shared" ref="C156:V156" si="38">C155*$F$79</f>
        <v>22799</v>
      </c>
      <c r="D156" s="53">
        <f t="shared" si="38"/>
        <v>21960</v>
      </c>
      <c r="E156" s="53">
        <f t="shared" si="38"/>
        <v>21474</v>
      </c>
      <c r="F156" s="53">
        <f t="shared" si="38"/>
        <v>19752</v>
      </c>
      <c r="G156" s="53">
        <f t="shared" si="38"/>
        <v>19789</v>
      </c>
      <c r="H156" s="53">
        <f t="shared" si="38"/>
        <v>19337</v>
      </c>
      <c r="I156" s="53">
        <f t="shared" si="38"/>
        <v>18672</v>
      </c>
      <c r="J156" s="53">
        <f t="shared" si="38"/>
        <v>18870</v>
      </c>
      <c r="K156" s="53">
        <f t="shared" si="38"/>
        <v>18882</v>
      </c>
      <c r="L156" s="53">
        <f t="shared" si="38"/>
        <v>17504</v>
      </c>
      <c r="M156" s="53">
        <f t="shared" si="38"/>
        <v>17716</v>
      </c>
      <c r="N156" s="53">
        <f t="shared" si="38"/>
        <v>16423</v>
      </c>
      <c r="O156" s="53">
        <f t="shared" si="38"/>
        <v>16375</v>
      </c>
      <c r="P156" s="53">
        <f t="shared" si="38"/>
        <v>15201</v>
      </c>
      <c r="Q156" s="53">
        <f t="shared" si="38"/>
        <v>0</v>
      </c>
      <c r="R156" s="53">
        <f t="shared" si="38"/>
        <v>0</v>
      </c>
      <c r="S156" s="53">
        <f t="shared" si="38"/>
        <v>0</v>
      </c>
      <c r="T156" s="53">
        <f t="shared" si="38"/>
        <v>0</v>
      </c>
      <c r="U156" s="53">
        <f t="shared" si="38"/>
        <v>0</v>
      </c>
      <c r="V156" s="53">
        <f t="shared" si="38"/>
        <v>0</v>
      </c>
      <c r="W156" s="47">
        <f>AVERAGE(N156:P156)</f>
        <v>15999.666666666666</v>
      </c>
      <c r="X156" s="17">
        <f>W156</f>
        <v>15999.666666666666</v>
      </c>
      <c r="Y156" s="13"/>
      <c r="Z156" s="91"/>
    </row>
    <row r="157" spans="1:26" s="4" customFormat="1" x14ac:dyDescent="0.3">
      <c r="A157" s="16" t="s">
        <v>133</v>
      </c>
      <c r="B157" s="48" t="s">
        <v>2</v>
      </c>
      <c r="C157" s="56">
        <v>16.5</v>
      </c>
      <c r="D157" s="57">
        <v>17.399999999999999</v>
      </c>
      <c r="E157" s="57">
        <v>16.5</v>
      </c>
      <c r="F157" s="57">
        <v>18.100000000000001</v>
      </c>
      <c r="G157" s="57">
        <v>16.3</v>
      </c>
      <c r="H157" s="57">
        <v>15.8</v>
      </c>
      <c r="I157" s="57">
        <v>16.5</v>
      </c>
      <c r="J157" s="57">
        <v>15.3</v>
      </c>
      <c r="K157" s="57">
        <v>14.9</v>
      </c>
      <c r="L157" s="57">
        <v>14.4</v>
      </c>
      <c r="M157" s="57">
        <v>14.2</v>
      </c>
      <c r="N157" s="57">
        <v>16.100000000000001</v>
      </c>
      <c r="O157" s="57">
        <v>15.3</v>
      </c>
      <c r="P157" s="57">
        <v>13.6</v>
      </c>
      <c r="Q157" s="57"/>
      <c r="R157" s="57"/>
      <c r="S157" s="57"/>
      <c r="T157" s="57"/>
      <c r="U157" s="57"/>
      <c r="V157" s="57"/>
      <c r="W157" s="48">
        <f>AVERAGE(L157:P157)*(1+'Hypothèses production'!B5)</f>
        <v>14.719999999999999</v>
      </c>
      <c r="X157" s="15">
        <f>W157</f>
        <v>14.719999999999999</v>
      </c>
      <c r="Y157" s="15"/>
      <c r="Z157" s="288"/>
    </row>
    <row r="158" spans="1:26" s="3" customFormat="1" x14ac:dyDescent="0.3">
      <c r="A158" s="14" t="s">
        <v>134</v>
      </c>
      <c r="B158" s="47" t="s">
        <v>138</v>
      </c>
      <c r="C158" s="58">
        <f t="shared" ref="C158:V158" si="39">C157*C156</f>
        <v>376183.5</v>
      </c>
      <c r="D158" s="53">
        <f t="shared" si="39"/>
        <v>382103.99999999994</v>
      </c>
      <c r="E158" s="53">
        <f t="shared" si="39"/>
        <v>354321</v>
      </c>
      <c r="F158" s="53">
        <f t="shared" si="39"/>
        <v>357511.2</v>
      </c>
      <c r="G158" s="53">
        <f t="shared" si="39"/>
        <v>322560.7</v>
      </c>
      <c r="H158" s="53">
        <f t="shared" si="39"/>
        <v>305524.60000000003</v>
      </c>
      <c r="I158" s="53">
        <f t="shared" si="39"/>
        <v>308088</v>
      </c>
      <c r="J158" s="53">
        <f t="shared" si="39"/>
        <v>288711</v>
      </c>
      <c r="K158" s="53">
        <f t="shared" si="39"/>
        <v>281341.8</v>
      </c>
      <c r="L158" s="53">
        <f t="shared" si="39"/>
        <v>252057.60000000001</v>
      </c>
      <c r="M158" s="53">
        <f t="shared" si="39"/>
        <v>251567.19999999998</v>
      </c>
      <c r="N158" s="53">
        <f t="shared" si="39"/>
        <v>264410.30000000005</v>
      </c>
      <c r="O158" s="53">
        <f t="shared" si="39"/>
        <v>250537.5</v>
      </c>
      <c r="P158" s="53">
        <f t="shared" si="39"/>
        <v>206733.6</v>
      </c>
      <c r="Q158" s="53">
        <f t="shared" si="39"/>
        <v>0</v>
      </c>
      <c r="R158" s="53">
        <f t="shared" si="39"/>
        <v>0</v>
      </c>
      <c r="S158" s="53">
        <f t="shared" si="39"/>
        <v>0</v>
      </c>
      <c r="T158" s="53">
        <f t="shared" si="39"/>
        <v>0</v>
      </c>
      <c r="U158" s="53">
        <f t="shared" si="39"/>
        <v>0</v>
      </c>
      <c r="V158" s="53">
        <f t="shared" si="39"/>
        <v>0</v>
      </c>
      <c r="W158" s="47">
        <f t="shared" ref="W158:X158" si="40">W157*W156</f>
        <v>235515.09333333329</v>
      </c>
      <c r="X158" s="17">
        <f t="shared" si="40"/>
        <v>235515.09333333329</v>
      </c>
      <c r="Y158" s="17"/>
      <c r="Z158" s="246"/>
    </row>
    <row r="159" spans="1:26" s="4" customFormat="1" x14ac:dyDescent="0.3">
      <c r="A159" s="14"/>
      <c r="B159" s="48" t="s">
        <v>430</v>
      </c>
      <c r="C159" s="20">
        <f>'Calcul R84'!C10</f>
        <v>4.3</v>
      </c>
      <c r="D159" s="49">
        <f>'Calcul R84'!D10</f>
        <v>4.0999999999999996</v>
      </c>
      <c r="E159" s="49">
        <f>'Calcul R84'!E10</f>
        <v>3.6</v>
      </c>
      <c r="F159" s="49">
        <f>'Calcul R84'!F10</f>
        <v>3.7</v>
      </c>
      <c r="G159" s="49">
        <f>'Calcul R84'!G10</f>
        <v>3.5</v>
      </c>
      <c r="H159" s="49">
        <f>'Calcul R84'!H10</f>
        <v>3.6</v>
      </c>
      <c r="I159" s="49">
        <f>'Calcul R84'!I10</f>
        <v>3.5</v>
      </c>
      <c r="J159" s="49">
        <f>'Calcul R84'!J10</f>
        <v>3.3</v>
      </c>
      <c r="K159" s="49">
        <f>'Calcul R84'!K10</f>
        <v>3.1</v>
      </c>
      <c r="L159" s="49">
        <f>'Calcul R84'!L10</f>
        <v>2.9</v>
      </c>
      <c r="M159" s="49">
        <f>'Calcul R84'!M10</f>
        <v>3.1</v>
      </c>
      <c r="N159" s="49">
        <f>'Calcul R84'!N10</f>
        <v>3.6</v>
      </c>
      <c r="O159" s="49">
        <f>'Calcul R84'!O10</f>
        <v>3.2</v>
      </c>
      <c r="P159" s="49">
        <f>'Calcul R84'!P10</f>
        <v>3.1750000000000003</v>
      </c>
      <c r="Q159" s="49">
        <f>'Calcul R84'!Q10</f>
        <v>0</v>
      </c>
      <c r="R159" s="49">
        <f>'Calcul R84'!R10</f>
        <v>0</v>
      </c>
      <c r="S159" s="49">
        <f>'Calcul R84'!S10</f>
        <v>0</v>
      </c>
      <c r="T159" s="49">
        <f>'Calcul R84'!T10</f>
        <v>0</v>
      </c>
      <c r="U159" s="49">
        <f>'Calcul R84'!U10</f>
        <v>0</v>
      </c>
      <c r="V159" s="49">
        <f>'Calcul R84'!V10</f>
        <v>0</v>
      </c>
      <c r="W159" s="49">
        <f>'Calcul R84'!W10</f>
        <v>3</v>
      </c>
      <c r="X159" s="21">
        <f>'Calcul R84'!X10</f>
        <v>3.1500000000000004</v>
      </c>
      <c r="Y159" s="15"/>
      <c r="Z159" s="288"/>
    </row>
    <row r="160" spans="1:26" s="3" customFormat="1" x14ac:dyDescent="0.3">
      <c r="A160" s="16"/>
      <c r="B160" s="47" t="s">
        <v>297</v>
      </c>
      <c r="C160" s="16">
        <f t="shared" ref="C160:V160" si="41">C159*C105/1000</f>
        <v>269890.51049999997</v>
      </c>
      <c r="D160" s="47">
        <f t="shared" si="41"/>
        <v>258588.41039999996</v>
      </c>
      <c r="E160" s="47">
        <f t="shared" si="41"/>
        <v>228153.49559999999</v>
      </c>
      <c r="F160" s="47">
        <f t="shared" si="41"/>
        <v>235682.1005</v>
      </c>
      <c r="G160" s="47">
        <f t="shared" si="41"/>
        <v>224097.853</v>
      </c>
      <c r="H160" s="47">
        <f t="shared" si="41"/>
        <v>231482.95559999999</v>
      </c>
      <c r="I160" s="47">
        <f t="shared" si="41"/>
        <v>225640.772</v>
      </c>
      <c r="J160" s="47">
        <f t="shared" si="41"/>
        <v>213309.13889999996</v>
      </c>
      <c r="K160" s="47">
        <f t="shared" si="41"/>
        <v>201016.51470000003</v>
      </c>
      <c r="L160" s="47">
        <f t="shared" si="41"/>
        <v>188780.62719999999</v>
      </c>
      <c r="M160" s="47">
        <f t="shared" si="41"/>
        <v>202334.3774</v>
      </c>
      <c r="N160" s="47">
        <f t="shared" si="41"/>
        <v>235818.76680000001</v>
      </c>
      <c r="O160" s="47">
        <f t="shared" si="41"/>
        <v>210309.85920000001</v>
      </c>
      <c r="P160" s="47">
        <f t="shared" si="41"/>
        <v>209314.926175</v>
      </c>
      <c r="Q160" s="47">
        <f t="shared" si="41"/>
        <v>0</v>
      </c>
      <c r="R160" s="47">
        <f t="shared" si="41"/>
        <v>0</v>
      </c>
      <c r="S160" s="47">
        <f t="shared" si="41"/>
        <v>0</v>
      </c>
      <c r="T160" s="47">
        <f t="shared" si="41"/>
        <v>0</v>
      </c>
      <c r="U160" s="47">
        <f t="shared" si="41"/>
        <v>0</v>
      </c>
      <c r="V160" s="47">
        <f t="shared" si="41"/>
        <v>0</v>
      </c>
      <c r="W160" s="47">
        <f>W159*W105/1000</f>
        <v>200289.66211409998</v>
      </c>
      <c r="X160" s="17">
        <f>X159*X105/1000</f>
        <v>210304.14521980501</v>
      </c>
      <c r="Y160" s="17"/>
      <c r="Z160" s="289"/>
    </row>
    <row r="161" spans="1:34" s="6" customFormat="1" x14ac:dyDescent="0.3">
      <c r="A161" s="205"/>
      <c r="B161" s="181" t="s">
        <v>298</v>
      </c>
      <c r="C161" s="205">
        <f t="shared" ref="C161:P161" si="42">(C158-C160)/C157</f>
        <v>6441.9993636363652</v>
      </c>
      <c r="D161" s="181">
        <f t="shared" si="42"/>
        <v>7098.5971034482754</v>
      </c>
      <c r="E161" s="181">
        <f t="shared" si="42"/>
        <v>7646.5154181818189</v>
      </c>
      <c r="F161" s="181">
        <f t="shared" si="42"/>
        <v>6730.8894751381213</v>
      </c>
      <c r="G161" s="181">
        <f t="shared" si="42"/>
        <v>6040.6654601227001</v>
      </c>
      <c r="H161" s="181">
        <f t="shared" si="42"/>
        <v>4686.1800253164583</v>
      </c>
      <c r="I161" s="181">
        <f t="shared" si="42"/>
        <v>4996.8016969696973</v>
      </c>
      <c r="J161" s="181">
        <f t="shared" si="42"/>
        <v>4928.2262156862771</v>
      </c>
      <c r="K161" s="181">
        <f t="shared" si="42"/>
        <v>5390.9587449664405</v>
      </c>
      <c r="L161" s="181">
        <f t="shared" si="42"/>
        <v>4394.2342222222233</v>
      </c>
      <c r="M161" s="181">
        <f t="shared" si="42"/>
        <v>3467.1001830985906</v>
      </c>
      <c r="N161" s="181">
        <f t="shared" si="42"/>
        <v>1775.8716273291946</v>
      </c>
      <c r="O161" s="181">
        <f t="shared" si="42"/>
        <v>2629.2575686274504</v>
      </c>
      <c r="P161" s="181">
        <f t="shared" si="42"/>
        <v>-189.80339522058784</v>
      </c>
      <c r="Q161" s="181"/>
      <c r="R161" s="181"/>
      <c r="S161" s="181"/>
      <c r="T161" s="181"/>
      <c r="U161" s="181"/>
      <c r="V161" s="181"/>
      <c r="W161" s="181">
        <f>(W158-W160)/W157</f>
        <v>2393.0320121761765</v>
      </c>
      <c r="X161" s="206">
        <f>(X158-X160)/X157</f>
        <v>1712.7002794516497</v>
      </c>
      <c r="Y161" s="286">
        <f>AVERAGE(L158:P158)/AVERAGE(L160:P160)</f>
        <v>1.1707956445130181</v>
      </c>
      <c r="Z161" s="290"/>
    </row>
    <row r="162" spans="1:34" s="6" customFormat="1" x14ac:dyDescent="0.3">
      <c r="A162" s="144"/>
      <c r="B162" s="70" t="s">
        <v>392</v>
      </c>
      <c r="C162" s="418">
        <v>119153</v>
      </c>
      <c r="D162" s="244">
        <v>121033</v>
      </c>
      <c r="E162" s="244">
        <v>116712</v>
      </c>
      <c r="F162" s="244">
        <v>123747</v>
      </c>
      <c r="G162" s="244">
        <v>132477</v>
      </c>
      <c r="H162" s="244">
        <v>128750</v>
      </c>
      <c r="I162" s="244">
        <v>138488</v>
      </c>
      <c r="J162" s="244">
        <v>151993</v>
      </c>
      <c r="K162" s="244">
        <v>156445</v>
      </c>
      <c r="L162" s="244">
        <v>164825</v>
      </c>
      <c r="M162" s="244">
        <v>169568</v>
      </c>
      <c r="N162" s="244">
        <v>163547</v>
      </c>
      <c r="O162" s="244">
        <v>166886</v>
      </c>
      <c r="P162" s="244">
        <v>166425</v>
      </c>
      <c r="Q162" s="244"/>
      <c r="R162" s="244"/>
      <c r="S162" s="244"/>
      <c r="T162" s="244"/>
      <c r="U162" s="244"/>
      <c r="V162" s="244"/>
      <c r="W162" s="247">
        <f>AVERAGE(N162:P162)</f>
        <v>165619.33333333334</v>
      </c>
      <c r="X162" s="438">
        <f>W162</f>
        <v>165619.33333333334</v>
      </c>
      <c r="Y162" s="292"/>
      <c r="Z162" s="434"/>
    </row>
    <row r="163" spans="1:34" s="3" customFormat="1" x14ac:dyDescent="0.3">
      <c r="A163" s="16"/>
      <c r="B163" s="47" t="s">
        <v>139</v>
      </c>
      <c r="C163" s="58">
        <f t="shared" ref="C163:V163" si="43">C162*$F$79</f>
        <v>119153</v>
      </c>
      <c r="D163" s="53">
        <f t="shared" si="43"/>
        <v>121033</v>
      </c>
      <c r="E163" s="53">
        <f t="shared" si="43"/>
        <v>116712</v>
      </c>
      <c r="F163" s="53">
        <f t="shared" si="43"/>
        <v>123747</v>
      </c>
      <c r="G163" s="53">
        <f t="shared" si="43"/>
        <v>132477</v>
      </c>
      <c r="H163" s="53">
        <f t="shared" si="43"/>
        <v>128750</v>
      </c>
      <c r="I163" s="53">
        <f t="shared" si="43"/>
        <v>138488</v>
      </c>
      <c r="J163" s="53">
        <f t="shared" si="43"/>
        <v>151993</v>
      </c>
      <c r="K163" s="53">
        <f t="shared" si="43"/>
        <v>156445</v>
      </c>
      <c r="L163" s="53">
        <f t="shared" si="43"/>
        <v>164825</v>
      </c>
      <c r="M163" s="53">
        <f t="shared" si="43"/>
        <v>169568</v>
      </c>
      <c r="N163" s="53">
        <f t="shared" si="43"/>
        <v>163547</v>
      </c>
      <c r="O163" s="53">
        <f t="shared" si="43"/>
        <v>166886</v>
      </c>
      <c r="P163" s="53">
        <f t="shared" si="43"/>
        <v>166425</v>
      </c>
      <c r="Q163" s="53">
        <f t="shared" si="43"/>
        <v>0</v>
      </c>
      <c r="R163" s="53">
        <f t="shared" si="43"/>
        <v>0</v>
      </c>
      <c r="S163" s="53">
        <f t="shared" si="43"/>
        <v>0</v>
      </c>
      <c r="T163" s="53">
        <f t="shared" si="43"/>
        <v>0</v>
      </c>
      <c r="U163" s="53">
        <f t="shared" si="43"/>
        <v>0</v>
      </c>
      <c r="V163" s="53">
        <f t="shared" si="43"/>
        <v>0</v>
      </c>
      <c r="W163" s="47">
        <f>AVERAGE(N163:P163)</f>
        <v>165619.33333333334</v>
      </c>
      <c r="X163" s="17">
        <f>W163</f>
        <v>165619.33333333334</v>
      </c>
      <c r="Y163" s="13"/>
      <c r="Z163" s="91"/>
    </row>
    <row r="164" spans="1:34" s="4" customFormat="1" x14ac:dyDescent="0.3">
      <c r="A164" s="16" t="s">
        <v>5</v>
      </c>
      <c r="B164" s="48" t="s">
        <v>2</v>
      </c>
      <c r="C164" s="69">
        <v>42.1</v>
      </c>
      <c r="D164" s="238">
        <v>47.3</v>
      </c>
      <c r="E164" s="238">
        <v>40.4</v>
      </c>
      <c r="F164" s="238">
        <v>43</v>
      </c>
      <c r="G164" s="238">
        <v>48.3</v>
      </c>
      <c r="H164" s="238">
        <v>43</v>
      </c>
      <c r="I164" s="238">
        <v>39.1</v>
      </c>
      <c r="J164" s="238">
        <v>44.8</v>
      </c>
      <c r="K164" s="238">
        <v>40.5</v>
      </c>
      <c r="L164" s="238">
        <v>42.1</v>
      </c>
      <c r="M164" s="238">
        <v>42</v>
      </c>
      <c r="N164" s="238">
        <v>43</v>
      </c>
      <c r="O164" s="238">
        <v>38.700000000000003</v>
      </c>
      <c r="P164" s="238">
        <v>43</v>
      </c>
      <c r="Q164" s="238"/>
      <c r="R164" s="238"/>
      <c r="S164" s="238"/>
      <c r="T164" s="240"/>
      <c r="U164" s="240"/>
      <c r="V164" s="238"/>
      <c r="W164" s="48">
        <f>AVERAGE(L164:P164)*(1+'Hypothèses production'!B6)</f>
        <v>41.760000000000005</v>
      </c>
      <c r="X164" s="15">
        <f>W164</f>
        <v>41.760000000000005</v>
      </c>
      <c r="Y164" s="15"/>
      <c r="Z164" s="288"/>
    </row>
    <row r="165" spans="1:34" s="3" customFormat="1" x14ac:dyDescent="0.3">
      <c r="A165" s="14" t="s">
        <v>6</v>
      </c>
      <c r="B165" s="47" t="s">
        <v>138</v>
      </c>
      <c r="C165" s="16">
        <f>C164*C163</f>
        <v>5016341.3</v>
      </c>
      <c r="D165" s="47">
        <f t="shared" ref="D165:O165" si="44">D164*D163</f>
        <v>5724860.8999999994</v>
      </c>
      <c r="E165" s="47">
        <f t="shared" si="44"/>
        <v>4715164.8</v>
      </c>
      <c r="F165" s="47">
        <f t="shared" si="44"/>
        <v>5321121</v>
      </c>
      <c r="G165" s="47">
        <f t="shared" si="44"/>
        <v>6398639.0999999996</v>
      </c>
      <c r="H165" s="47">
        <f t="shared" si="44"/>
        <v>5536250</v>
      </c>
      <c r="I165" s="47">
        <f t="shared" si="44"/>
        <v>5414880.7999999998</v>
      </c>
      <c r="J165" s="47">
        <f t="shared" si="44"/>
        <v>6809286.3999999994</v>
      </c>
      <c r="K165" s="47">
        <f t="shared" si="44"/>
        <v>6336022.5</v>
      </c>
      <c r="L165" s="47">
        <f t="shared" si="44"/>
        <v>6939132.5</v>
      </c>
      <c r="M165" s="47">
        <f t="shared" si="44"/>
        <v>7121856</v>
      </c>
      <c r="N165" s="47">
        <f t="shared" si="44"/>
        <v>7032521</v>
      </c>
      <c r="O165" s="47">
        <f t="shared" si="44"/>
        <v>6458488.2000000002</v>
      </c>
      <c r="P165" s="47">
        <f t="shared" ref="P165" si="45">P164*P163</f>
        <v>7156275</v>
      </c>
      <c r="Q165" s="53">
        <f t="shared" ref="Q165:V165" si="46">Q164*Q163</f>
        <v>0</v>
      </c>
      <c r="R165" s="53">
        <f t="shared" si="46"/>
        <v>0</v>
      </c>
      <c r="S165" s="53">
        <f t="shared" si="46"/>
        <v>0</v>
      </c>
      <c r="T165" s="53">
        <f t="shared" si="46"/>
        <v>0</v>
      </c>
      <c r="U165" s="53">
        <f t="shared" si="46"/>
        <v>0</v>
      </c>
      <c r="V165" s="53">
        <f t="shared" si="46"/>
        <v>0</v>
      </c>
      <c r="W165" s="47">
        <f t="shared" ref="W165:X165" si="47">W164*W163</f>
        <v>6916263.3600000013</v>
      </c>
      <c r="X165" s="17">
        <f t="shared" si="47"/>
        <v>6916263.3600000013</v>
      </c>
      <c r="Y165" s="17"/>
      <c r="Z165" s="246"/>
    </row>
    <row r="166" spans="1:34" s="4" customFormat="1" x14ac:dyDescent="0.3">
      <c r="A166" s="14" t="s">
        <v>427</v>
      </c>
      <c r="B166" s="48" t="s">
        <v>430</v>
      </c>
      <c r="C166" s="20">
        <f>'Calcul R84'!C11</f>
        <v>49.3</v>
      </c>
      <c r="D166" s="49">
        <f>'Calcul R84'!D11</f>
        <v>47.3</v>
      </c>
      <c r="E166" s="49">
        <f>'Calcul R84'!E11</f>
        <v>47.6</v>
      </c>
      <c r="F166" s="49">
        <f>'Calcul R84'!F11</f>
        <v>47.6</v>
      </c>
      <c r="G166" s="49">
        <f>'Calcul R84'!G11</f>
        <v>47.6</v>
      </c>
      <c r="H166" s="49">
        <f>'Calcul R84'!H11</f>
        <v>47.6</v>
      </c>
      <c r="I166" s="49">
        <f>'Calcul R84'!I11</f>
        <v>47.6</v>
      </c>
      <c r="J166" s="49">
        <f>'Calcul R84'!J11</f>
        <v>47.6</v>
      </c>
      <c r="K166" s="49">
        <f>'Calcul R84'!K11</f>
        <v>47.6</v>
      </c>
      <c r="L166" s="49">
        <f>'Calcul R84'!L11</f>
        <v>47.6</v>
      </c>
      <c r="M166" s="49">
        <f>'Calcul R84'!M11</f>
        <v>47.6</v>
      </c>
      <c r="N166" s="49">
        <f>'Calcul R84'!N11</f>
        <v>47.6</v>
      </c>
      <c r="O166" s="49">
        <f>'Calcul R84'!O11</f>
        <v>47.5</v>
      </c>
      <c r="P166" s="49">
        <f>'Calcul R84'!P11</f>
        <v>47.5</v>
      </c>
      <c r="Q166" s="49">
        <f>'Calcul R84'!Q11</f>
        <v>0</v>
      </c>
      <c r="R166" s="49">
        <f>'Calcul R84'!R11</f>
        <v>0</v>
      </c>
      <c r="S166" s="49">
        <f>'Calcul R84'!S11</f>
        <v>0</v>
      </c>
      <c r="T166" s="49">
        <f>'Calcul R84'!T11</f>
        <v>0</v>
      </c>
      <c r="U166" s="49">
        <f>'Calcul R84'!U11</f>
        <v>0</v>
      </c>
      <c r="V166" s="49">
        <f>'Calcul R84'!V11</f>
        <v>0</v>
      </c>
      <c r="W166" s="49">
        <f>'Calcul R84'!W11</f>
        <v>47.5</v>
      </c>
      <c r="X166" s="21">
        <f>'Calcul R84'!X11</f>
        <v>47.5</v>
      </c>
      <c r="Y166" s="15"/>
      <c r="Z166" s="288"/>
    </row>
    <row r="167" spans="1:34" s="3" customFormat="1" x14ac:dyDescent="0.3">
      <c r="A167" s="16" t="s">
        <v>428</v>
      </c>
      <c r="B167" s="47" t="s">
        <v>297</v>
      </c>
      <c r="C167" s="16">
        <f t="shared" ref="C167:O167" si="48">C166*C105/1000</f>
        <v>3094326.0855</v>
      </c>
      <c r="D167" s="47">
        <f t="shared" si="48"/>
        <v>2983227.2711999998</v>
      </c>
      <c r="E167" s="47">
        <f t="shared" si="48"/>
        <v>3016696.2196</v>
      </c>
      <c r="F167" s="47">
        <f t="shared" si="48"/>
        <v>3032018.3739999998</v>
      </c>
      <c r="G167" s="47">
        <f t="shared" si="48"/>
        <v>3047730.8008000003</v>
      </c>
      <c r="H167" s="47">
        <f t="shared" si="48"/>
        <v>3060719.0795999998</v>
      </c>
      <c r="I167" s="47">
        <f t="shared" si="48"/>
        <v>3068714.4992000004</v>
      </c>
      <c r="J167" s="47">
        <f t="shared" si="48"/>
        <v>3076822.7308</v>
      </c>
      <c r="K167" s="47">
        <f t="shared" si="48"/>
        <v>3086576.1612000004</v>
      </c>
      <c r="L167" s="47">
        <f t="shared" si="48"/>
        <v>3098606.1568</v>
      </c>
      <c r="M167" s="47">
        <f t="shared" si="48"/>
        <v>3106811.7304000002</v>
      </c>
      <c r="N167" s="47">
        <f t="shared" si="48"/>
        <v>3118048.1388000003</v>
      </c>
      <c r="O167" s="47">
        <f t="shared" si="48"/>
        <v>3121786.9725000001</v>
      </c>
      <c r="P167" s="47">
        <f t="shared" ref="P167" si="49">P166*P105/1000</f>
        <v>3131483.1475</v>
      </c>
      <c r="Q167" s="47">
        <f t="shared" ref="Q167:V167" si="50">Q166*Q112/1000</f>
        <v>0</v>
      </c>
      <c r="R167" s="47">
        <f t="shared" si="50"/>
        <v>0</v>
      </c>
      <c r="S167" s="47">
        <f t="shared" si="50"/>
        <v>0</v>
      </c>
      <c r="T167" s="47">
        <f t="shared" si="50"/>
        <v>0</v>
      </c>
      <c r="U167" s="47">
        <f t="shared" si="50"/>
        <v>0</v>
      </c>
      <c r="V167" s="47">
        <f t="shared" si="50"/>
        <v>0</v>
      </c>
      <c r="W167" s="47">
        <f>W166*W105/1000</f>
        <v>3171252.9834732492</v>
      </c>
      <c r="X167" s="17">
        <f>X166*X105/1000</f>
        <v>3171252.9834732492</v>
      </c>
      <c r="Y167" s="17"/>
      <c r="Z167" s="289"/>
    </row>
    <row r="168" spans="1:34" s="6" customFormat="1" x14ac:dyDescent="0.3">
      <c r="A168" s="58" t="s">
        <v>429</v>
      </c>
      <c r="B168" s="181" t="s">
        <v>298</v>
      </c>
      <c r="C168" s="205">
        <f t="shared" ref="C168:O168" si="51">(C165-C167)/C164</f>
        <v>45653.568040380043</v>
      </c>
      <c r="D168" s="181">
        <f t="shared" si="51"/>
        <v>57962.655999999995</v>
      </c>
      <c r="E168" s="181">
        <f t="shared" si="51"/>
        <v>42041.301495049505</v>
      </c>
      <c r="F168" s="181">
        <f t="shared" si="51"/>
        <v>53234.944790697678</v>
      </c>
      <c r="G168" s="181">
        <f t="shared" si="51"/>
        <v>69376.983420289849</v>
      </c>
      <c r="H168" s="181">
        <f t="shared" si="51"/>
        <v>57570.486520930237</v>
      </c>
      <c r="I168" s="181">
        <f t="shared" si="51"/>
        <v>60004.253217391284</v>
      </c>
      <c r="J168" s="181">
        <f t="shared" si="51"/>
        <v>83313.921187499989</v>
      </c>
      <c r="K168" s="181">
        <f t="shared" si="51"/>
        <v>80233.242933333328</v>
      </c>
      <c r="L168" s="181">
        <f t="shared" si="51"/>
        <v>91223.903638954871</v>
      </c>
      <c r="M168" s="181">
        <f t="shared" si="51"/>
        <v>95596.292133333322</v>
      </c>
      <c r="N168" s="181">
        <f t="shared" si="51"/>
        <v>91034.25258604651</v>
      </c>
      <c r="O168" s="181">
        <f t="shared" si="51"/>
        <v>86219.669961240303</v>
      </c>
      <c r="P168" s="181">
        <f t="shared" ref="P168" si="52">(P165-P167)/P164</f>
        <v>93599.810523255815</v>
      </c>
      <c r="Q168" s="181"/>
      <c r="R168" s="181"/>
      <c r="S168" s="181"/>
      <c r="T168" s="181"/>
      <c r="U168" s="181"/>
      <c r="V168" s="181"/>
      <c r="W168" s="181">
        <f>(W165-W167)/W164</f>
        <v>89679.367253993099</v>
      </c>
      <c r="X168" s="206">
        <f>(X165-X167)/X164</f>
        <v>89679.367253993099</v>
      </c>
      <c r="Y168" s="286">
        <f>AVERAGE(L165:P165)/AVERAGE(L167:P167)</f>
        <v>2.2282121475693639</v>
      </c>
      <c r="Z168" s="290"/>
    </row>
    <row r="169" spans="1:34" s="6" customFormat="1" x14ac:dyDescent="0.3">
      <c r="A169" s="144"/>
      <c r="B169" s="70" t="s">
        <v>392</v>
      </c>
      <c r="C169" s="418">
        <v>2725</v>
      </c>
      <c r="D169" s="244">
        <v>2919</v>
      </c>
      <c r="E169" s="244">
        <v>3091</v>
      </c>
      <c r="F169" s="244">
        <v>3191</v>
      </c>
      <c r="G169" s="244">
        <v>3361</v>
      </c>
      <c r="H169" s="244">
        <v>3375</v>
      </c>
      <c r="I169" s="244">
        <v>3544</v>
      </c>
      <c r="J169" s="244">
        <v>3675</v>
      </c>
      <c r="K169" s="244">
        <v>3788</v>
      </c>
      <c r="L169" s="244">
        <v>4117</v>
      </c>
      <c r="M169" s="244">
        <v>4389</v>
      </c>
      <c r="N169" s="244">
        <v>4215</v>
      </c>
      <c r="O169" s="244">
        <v>4064</v>
      </c>
      <c r="P169" s="244">
        <v>4072</v>
      </c>
      <c r="Q169" s="244"/>
      <c r="R169" s="244"/>
      <c r="S169" s="244"/>
      <c r="T169" s="244"/>
      <c r="U169" s="244"/>
      <c r="V169" s="244"/>
      <c r="W169" s="247">
        <f>AVERAGE(N169:P169)</f>
        <v>4117</v>
      </c>
      <c r="X169" s="438">
        <f>W169</f>
        <v>4117</v>
      </c>
      <c r="Y169" s="292"/>
      <c r="Z169" s="434"/>
    </row>
    <row r="170" spans="1:34" s="3" customFormat="1" x14ac:dyDescent="0.3">
      <c r="A170" s="16"/>
      <c r="B170" s="47" t="s">
        <v>139</v>
      </c>
      <c r="C170" s="58">
        <f t="shared" ref="C170:V170" si="53">C169*$F$79</f>
        <v>2725</v>
      </c>
      <c r="D170" s="53">
        <f t="shared" si="53"/>
        <v>2919</v>
      </c>
      <c r="E170" s="53">
        <f t="shared" si="53"/>
        <v>3091</v>
      </c>
      <c r="F170" s="53">
        <f t="shared" si="53"/>
        <v>3191</v>
      </c>
      <c r="G170" s="53">
        <f t="shared" si="53"/>
        <v>3361</v>
      </c>
      <c r="H170" s="53">
        <f t="shared" si="53"/>
        <v>3375</v>
      </c>
      <c r="I170" s="53">
        <f t="shared" si="53"/>
        <v>3544</v>
      </c>
      <c r="J170" s="53">
        <f t="shared" si="53"/>
        <v>3675</v>
      </c>
      <c r="K170" s="53">
        <f t="shared" si="53"/>
        <v>3788</v>
      </c>
      <c r="L170" s="53">
        <f t="shared" si="53"/>
        <v>4117</v>
      </c>
      <c r="M170" s="53">
        <f t="shared" si="53"/>
        <v>4389</v>
      </c>
      <c r="N170" s="53">
        <f t="shared" si="53"/>
        <v>4215</v>
      </c>
      <c r="O170" s="53">
        <f t="shared" si="53"/>
        <v>4064</v>
      </c>
      <c r="P170" s="53">
        <f t="shared" si="53"/>
        <v>4072</v>
      </c>
      <c r="Q170" s="53">
        <f t="shared" si="53"/>
        <v>0</v>
      </c>
      <c r="R170" s="53">
        <f t="shared" si="53"/>
        <v>0</v>
      </c>
      <c r="S170" s="53">
        <f t="shared" si="53"/>
        <v>0</v>
      </c>
      <c r="T170" s="53">
        <f t="shared" si="53"/>
        <v>0</v>
      </c>
      <c r="U170" s="53">
        <f t="shared" si="53"/>
        <v>0</v>
      </c>
      <c r="V170" s="53">
        <f t="shared" si="53"/>
        <v>0</v>
      </c>
      <c r="W170" s="47">
        <f>AVERAGE(N170:P170)</f>
        <v>4117</v>
      </c>
      <c r="X170" s="17">
        <f>W170</f>
        <v>4117</v>
      </c>
      <c r="Y170" s="13"/>
      <c r="Z170" s="91"/>
    </row>
    <row r="171" spans="1:34" s="4" customFormat="1" x14ac:dyDescent="0.3">
      <c r="A171" s="14"/>
      <c r="B171" s="48" t="s">
        <v>2</v>
      </c>
      <c r="C171" s="69">
        <v>47.4</v>
      </c>
      <c r="D171" s="238">
        <v>48.2</v>
      </c>
      <c r="E171" s="238">
        <v>47.5</v>
      </c>
      <c r="F171" s="238">
        <v>44.4</v>
      </c>
      <c r="G171" s="238">
        <v>47.3</v>
      </c>
      <c r="H171" s="238">
        <v>45.5</v>
      </c>
      <c r="I171" s="238">
        <v>48.5</v>
      </c>
      <c r="J171" s="238">
        <v>45</v>
      </c>
      <c r="K171" s="238">
        <v>42</v>
      </c>
      <c r="L171" s="238">
        <v>42.2</v>
      </c>
      <c r="M171" s="238">
        <v>43.9</v>
      </c>
      <c r="N171" s="238">
        <v>43.4</v>
      </c>
      <c r="O171" s="238">
        <v>36.5</v>
      </c>
      <c r="P171" s="238">
        <v>34.9</v>
      </c>
      <c r="Q171" s="238"/>
      <c r="R171" s="238"/>
      <c r="S171" s="238"/>
      <c r="T171" s="240"/>
      <c r="U171" s="240"/>
      <c r="V171" s="238"/>
      <c r="W171" s="92">
        <f>AVERAGE(L171:P171)*(1+'Hypothèses production'!B5)</f>
        <v>40.18</v>
      </c>
      <c r="X171" s="208">
        <f>W171</f>
        <v>40.18</v>
      </c>
      <c r="Y171" s="15"/>
      <c r="Z171" s="288"/>
    </row>
    <row r="172" spans="1:34" s="3" customFormat="1" x14ac:dyDescent="0.3">
      <c r="A172" s="16" t="s">
        <v>23</v>
      </c>
      <c r="B172" s="47" t="s">
        <v>138</v>
      </c>
      <c r="C172" s="16">
        <f>C171*C170</f>
        <v>129165</v>
      </c>
      <c r="D172" s="47">
        <f t="shared" ref="D172:P172" si="54">D171*D170</f>
        <v>140695.80000000002</v>
      </c>
      <c r="E172" s="47">
        <f t="shared" si="54"/>
        <v>146822.5</v>
      </c>
      <c r="F172" s="47">
        <f t="shared" si="54"/>
        <v>141680.4</v>
      </c>
      <c r="G172" s="47">
        <f t="shared" si="54"/>
        <v>158975.29999999999</v>
      </c>
      <c r="H172" s="47">
        <f t="shared" si="54"/>
        <v>153562.5</v>
      </c>
      <c r="I172" s="47">
        <f t="shared" si="54"/>
        <v>171884</v>
      </c>
      <c r="J172" s="47">
        <f t="shared" si="54"/>
        <v>165375</v>
      </c>
      <c r="K172" s="47">
        <f t="shared" si="54"/>
        <v>159096</v>
      </c>
      <c r="L172" s="47">
        <f t="shared" si="54"/>
        <v>173737.40000000002</v>
      </c>
      <c r="M172" s="47">
        <f t="shared" si="54"/>
        <v>192677.1</v>
      </c>
      <c r="N172" s="47">
        <f t="shared" si="54"/>
        <v>182931</v>
      </c>
      <c r="O172" s="47">
        <f t="shared" si="54"/>
        <v>148336</v>
      </c>
      <c r="P172" s="47">
        <f t="shared" si="54"/>
        <v>142112.79999999999</v>
      </c>
      <c r="Q172" s="53">
        <f t="shared" ref="Q172:V172" si="55">Q171*Q170</f>
        <v>0</v>
      </c>
      <c r="R172" s="53">
        <f t="shared" si="55"/>
        <v>0</v>
      </c>
      <c r="S172" s="53">
        <f t="shared" si="55"/>
        <v>0</v>
      </c>
      <c r="T172" s="53">
        <f t="shared" si="55"/>
        <v>0</v>
      </c>
      <c r="U172" s="53">
        <f t="shared" si="55"/>
        <v>0</v>
      </c>
      <c r="V172" s="53">
        <f t="shared" si="55"/>
        <v>0</v>
      </c>
      <c r="W172" s="47">
        <f t="shared" ref="W172:X172" si="56">W171*W170</f>
        <v>165421.06</v>
      </c>
      <c r="X172" s="17">
        <f t="shared" si="56"/>
        <v>165421.06</v>
      </c>
      <c r="Y172" s="17"/>
      <c r="Z172" s="246"/>
    </row>
    <row r="173" spans="1:34" s="8" customFormat="1" x14ac:dyDescent="0.3">
      <c r="A173" s="20"/>
      <c r="B173" s="49" t="s">
        <v>34</v>
      </c>
      <c r="C173" s="20">
        <f>'Calcul R84'!C12</f>
        <v>4.0122848261461934</v>
      </c>
      <c r="D173" s="49">
        <f>'Calcul R84'!D12</f>
        <v>4.1635701241775385</v>
      </c>
      <c r="E173" s="49">
        <f>'Calcul R84'!E12</f>
        <v>4.1245837479949614</v>
      </c>
      <c r="F173" s="49">
        <f>'Calcul R84'!F12</f>
        <v>4.0303297449608406</v>
      </c>
      <c r="G173" s="49">
        <f>'Calcul R84'!G12</f>
        <v>4.2169437919603805</v>
      </c>
      <c r="H173" s="49">
        <f>'Calcul R84'!H12</f>
        <v>4.0368924682936784</v>
      </c>
      <c r="I173" s="49">
        <f>'Calcul R84'!I12</f>
        <v>4.5965340873767264</v>
      </c>
      <c r="J173" s="49">
        <f>'Calcul R84'!J12</f>
        <v>4.2927865384580572</v>
      </c>
      <c r="K173" s="49">
        <f>'Calcul R84'!K12</f>
        <v>4.3623594872725153</v>
      </c>
      <c r="L173" s="49">
        <f>'Calcul R84'!L12</f>
        <v>4.6004803187771168</v>
      </c>
      <c r="M173" s="49">
        <f>'Calcul R84'!M12</f>
        <v>4.9650574603740072</v>
      </c>
      <c r="N173" s="49">
        <f>'Calcul R84'!N12</f>
        <v>4.678681069245588</v>
      </c>
      <c r="O173" s="49">
        <f>'Calcul R84'!O12</f>
        <v>3.94439710603924</v>
      </c>
      <c r="P173" s="49">
        <f>'Calcul R84'!P12</f>
        <v>3.9888474677843351</v>
      </c>
      <c r="Q173" s="49">
        <f>'Calcul R84'!Q12</f>
        <v>0</v>
      </c>
      <c r="R173" s="49">
        <f>'Calcul R84'!R12</f>
        <v>0</v>
      </c>
      <c r="S173" s="49">
        <f>'Calcul R84'!S12</f>
        <v>0</v>
      </c>
      <c r="T173" s="49">
        <f>'Calcul R84'!T12</f>
        <v>0</v>
      </c>
      <c r="U173" s="49">
        <f>'Calcul R84'!U12</f>
        <v>0</v>
      </c>
      <c r="V173" s="49">
        <f>'Calcul R84'!V12</f>
        <v>0</v>
      </c>
      <c r="W173" s="49">
        <f>'Calcul R84'!W12</f>
        <v>4.3</v>
      </c>
      <c r="X173" s="21">
        <f>'Calcul R84'!X12</f>
        <v>4.5149999999999997</v>
      </c>
      <c r="Y173" s="21"/>
      <c r="Z173" s="291"/>
      <c r="AA173" s="4"/>
      <c r="AB173" s="4"/>
      <c r="AC173" s="4"/>
      <c r="AD173" s="4"/>
      <c r="AE173" s="4"/>
      <c r="AF173" s="4"/>
      <c r="AG173" s="4"/>
      <c r="AH173" s="4"/>
    </row>
    <row r="174" spans="1:34" s="3" customFormat="1" x14ac:dyDescent="0.3">
      <c r="A174" s="16"/>
      <c r="B174" s="47" t="s">
        <v>297</v>
      </c>
      <c r="C174" s="16">
        <f t="shared" ref="C174:P174" si="57">C173*C105/1000</f>
        <v>251831.99999999997</v>
      </c>
      <c r="D174" s="47">
        <f t="shared" si="57"/>
        <v>262597.80000000005</v>
      </c>
      <c r="E174" s="47">
        <f t="shared" si="57"/>
        <v>261399.49999999997</v>
      </c>
      <c r="F174" s="47">
        <f t="shared" si="57"/>
        <v>256723.40000000005</v>
      </c>
      <c r="G174" s="47">
        <f t="shared" si="57"/>
        <v>270002.3</v>
      </c>
      <c r="H174" s="47">
        <f t="shared" si="57"/>
        <v>259575.5</v>
      </c>
      <c r="I174" s="47">
        <f t="shared" si="57"/>
        <v>296333</v>
      </c>
      <c r="J174" s="47">
        <f t="shared" si="57"/>
        <v>277482</v>
      </c>
      <c r="K174" s="47">
        <f t="shared" si="57"/>
        <v>282873</v>
      </c>
      <c r="L174" s="47">
        <f t="shared" si="57"/>
        <v>299476.40000000002</v>
      </c>
      <c r="M174" s="47">
        <f t="shared" si="57"/>
        <v>324065.09999999998</v>
      </c>
      <c r="N174" s="47">
        <f t="shared" si="57"/>
        <v>306478</v>
      </c>
      <c r="O174" s="47">
        <f t="shared" si="57"/>
        <v>259233</v>
      </c>
      <c r="P174" s="47">
        <f t="shared" si="57"/>
        <v>262968.60259609885</v>
      </c>
      <c r="Q174" s="47">
        <f t="shared" ref="Q174:V174" si="58">Q173*Q119/1000</f>
        <v>0</v>
      </c>
      <c r="R174" s="47">
        <f t="shared" si="58"/>
        <v>0</v>
      </c>
      <c r="S174" s="47">
        <f t="shared" si="58"/>
        <v>0</v>
      </c>
      <c r="T174" s="47">
        <f t="shared" si="58"/>
        <v>0</v>
      </c>
      <c r="U174" s="47">
        <f t="shared" si="58"/>
        <v>0</v>
      </c>
      <c r="V174" s="47">
        <f t="shared" si="58"/>
        <v>0</v>
      </c>
      <c r="W174" s="47">
        <f>W173*W105/1000</f>
        <v>287081.84903020994</v>
      </c>
      <c r="X174" s="17">
        <f>X173*X105/1000</f>
        <v>301435.94148172042</v>
      </c>
      <c r="Y174" s="17"/>
      <c r="Z174" s="289"/>
    </row>
    <row r="175" spans="1:34" s="6" customFormat="1" x14ac:dyDescent="0.3">
      <c r="A175" s="205"/>
      <c r="B175" s="181" t="s">
        <v>298</v>
      </c>
      <c r="C175" s="205">
        <f t="shared" ref="C175:P175" si="59">(C172-C174)/C171</f>
        <v>-2587.9113924050625</v>
      </c>
      <c r="D175" s="181">
        <f t="shared" si="59"/>
        <v>-2529.0871369294609</v>
      </c>
      <c r="E175" s="181">
        <f t="shared" si="59"/>
        <v>-2412.1473684210519</v>
      </c>
      <c r="F175" s="181">
        <f t="shared" si="59"/>
        <v>-2591.05855855856</v>
      </c>
      <c r="G175" s="181">
        <f t="shared" si="59"/>
        <v>-2347.2938689217763</v>
      </c>
      <c r="H175" s="181">
        <f t="shared" si="59"/>
        <v>-2329.9560439560441</v>
      </c>
      <c r="I175" s="181">
        <f t="shared" si="59"/>
        <v>-2565.9587628865979</v>
      </c>
      <c r="J175" s="181">
        <f t="shared" si="59"/>
        <v>-2491.2666666666669</v>
      </c>
      <c r="K175" s="181">
        <f t="shared" si="59"/>
        <v>-2947.0714285714284</v>
      </c>
      <c r="L175" s="181">
        <f t="shared" si="59"/>
        <v>-2979.5971563981043</v>
      </c>
      <c r="M175" s="181">
        <f t="shared" si="59"/>
        <v>-2992.8929384965827</v>
      </c>
      <c r="N175" s="181">
        <f t="shared" si="59"/>
        <v>-2846.705069124424</v>
      </c>
      <c r="O175" s="181">
        <f t="shared" si="59"/>
        <v>-3038.2739726027398</v>
      </c>
      <c r="P175" s="181">
        <f t="shared" si="59"/>
        <v>-3462.9169798309131</v>
      </c>
      <c r="Q175" s="181"/>
      <c r="R175" s="181"/>
      <c r="S175" s="181"/>
      <c r="T175" s="181"/>
      <c r="U175" s="181"/>
      <c r="V175" s="181"/>
      <c r="W175" s="181">
        <f>(W172-W174)/W171</f>
        <v>-3027.8942018469374</v>
      </c>
      <c r="X175" s="206">
        <f>(X172-X174)/X171</f>
        <v>-3385.1389119392838</v>
      </c>
      <c r="Y175" s="286">
        <f>AVERAGE(L172:P172)/AVERAGE(L174:P174)</f>
        <v>0.5782826723139618</v>
      </c>
      <c r="Z175" s="290"/>
    </row>
    <row r="176" spans="1:34" s="6" customFormat="1" x14ac:dyDescent="0.3">
      <c r="A176" s="144"/>
      <c r="B176" s="70" t="s">
        <v>392</v>
      </c>
      <c r="C176" s="418">
        <v>23498</v>
      </c>
      <c r="D176" s="244">
        <v>23550</v>
      </c>
      <c r="E176" s="244">
        <v>22140</v>
      </c>
      <c r="F176" s="244">
        <v>22276</v>
      </c>
      <c r="G176" s="244">
        <v>21493</v>
      </c>
      <c r="H176" s="244">
        <v>21937</v>
      </c>
      <c r="I176" s="244">
        <v>22285</v>
      </c>
      <c r="J176" s="244">
        <v>21031</v>
      </c>
      <c r="K176" s="244">
        <v>20798</v>
      </c>
      <c r="L176" s="244">
        <v>20658</v>
      </c>
      <c r="M176" s="244">
        <v>20231</v>
      </c>
      <c r="N176" s="244">
        <v>19274</v>
      </c>
      <c r="O176" s="244">
        <v>20428</v>
      </c>
      <c r="P176" s="244">
        <v>20280</v>
      </c>
      <c r="Q176" s="244"/>
      <c r="R176" s="244"/>
      <c r="S176" s="244"/>
      <c r="T176" s="244"/>
      <c r="U176" s="244"/>
      <c r="V176" s="244"/>
      <c r="W176" s="247">
        <f>AVERAGE(N176:P176)</f>
        <v>19994</v>
      </c>
      <c r="X176" s="438">
        <f>W176</f>
        <v>19994</v>
      </c>
      <c r="Y176" s="292"/>
      <c r="Z176" s="434"/>
    </row>
    <row r="177" spans="1:34" x14ac:dyDescent="0.3">
      <c r="A177" s="16"/>
      <c r="B177" s="47" t="s">
        <v>139</v>
      </c>
      <c r="C177" s="58">
        <f t="shared" ref="C177:V177" si="60">C176*$F$79</f>
        <v>23498</v>
      </c>
      <c r="D177" s="53">
        <f t="shared" si="60"/>
        <v>23550</v>
      </c>
      <c r="E177" s="53">
        <f t="shared" si="60"/>
        <v>22140</v>
      </c>
      <c r="F177" s="53">
        <f t="shared" si="60"/>
        <v>22276</v>
      </c>
      <c r="G177" s="53">
        <f t="shared" si="60"/>
        <v>21493</v>
      </c>
      <c r="H177" s="53">
        <f t="shared" si="60"/>
        <v>21937</v>
      </c>
      <c r="I177" s="53">
        <f t="shared" si="60"/>
        <v>22285</v>
      </c>
      <c r="J177" s="53">
        <f t="shared" si="60"/>
        <v>21031</v>
      </c>
      <c r="K177" s="53">
        <f t="shared" si="60"/>
        <v>20798</v>
      </c>
      <c r="L177" s="53">
        <f t="shared" si="60"/>
        <v>20658</v>
      </c>
      <c r="M177" s="53">
        <f t="shared" si="60"/>
        <v>20231</v>
      </c>
      <c r="N177" s="53">
        <f t="shared" si="60"/>
        <v>19274</v>
      </c>
      <c r="O177" s="53">
        <f t="shared" si="60"/>
        <v>20428</v>
      </c>
      <c r="P177" s="53">
        <f t="shared" si="60"/>
        <v>20280</v>
      </c>
      <c r="Q177" s="53">
        <f t="shared" si="60"/>
        <v>0</v>
      </c>
      <c r="R177" s="53">
        <f t="shared" si="60"/>
        <v>0</v>
      </c>
      <c r="S177" s="53">
        <f t="shared" si="60"/>
        <v>0</v>
      </c>
      <c r="T177" s="53">
        <f t="shared" si="60"/>
        <v>0</v>
      </c>
      <c r="U177" s="53">
        <f t="shared" si="60"/>
        <v>0</v>
      </c>
      <c r="V177" s="53">
        <f t="shared" si="60"/>
        <v>0</v>
      </c>
      <c r="W177" s="47">
        <f>AVERAGE(N177:P177)</f>
        <v>19994</v>
      </c>
      <c r="X177" s="17">
        <f>W177</f>
        <v>19994</v>
      </c>
      <c r="Y177" s="13"/>
      <c r="Z177" s="91"/>
    </row>
    <row r="178" spans="1:34" x14ac:dyDescent="0.3">
      <c r="A178" s="14"/>
      <c r="B178" s="48" t="s">
        <v>2</v>
      </c>
      <c r="C178" s="69">
        <v>17.899999999999999</v>
      </c>
      <c r="D178" s="238">
        <v>17.399999999999999</v>
      </c>
      <c r="E178" s="238">
        <v>18.8</v>
      </c>
      <c r="F178" s="238">
        <v>17.7</v>
      </c>
      <c r="G178" s="238">
        <v>17.5</v>
      </c>
      <c r="H178" s="238">
        <v>17.100000000000001</v>
      </c>
      <c r="I178" s="238">
        <v>16.399999999999999</v>
      </c>
      <c r="J178" s="238">
        <v>16.399999999999999</v>
      </c>
      <c r="K178" s="238">
        <v>16.3</v>
      </c>
      <c r="L178" s="238">
        <v>15.8</v>
      </c>
      <c r="M178" s="238">
        <v>15.2</v>
      </c>
      <c r="N178" s="238">
        <v>15.1</v>
      </c>
      <c r="O178" s="238">
        <v>14.9</v>
      </c>
      <c r="P178" s="240">
        <v>14</v>
      </c>
      <c r="Q178" s="250"/>
      <c r="R178" s="250"/>
      <c r="S178" s="251"/>
      <c r="T178" s="240"/>
      <c r="U178" s="240"/>
      <c r="V178" s="250"/>
      <c r="W178" s="92">
        <f>AVERAGE(L178:P178)*(1+'Hypothèses production'!B5)</f>
        <v>15</v>
      </c>
      <c r="X178" s="208">
        <f>W178</f>
        <v>15</v>
      </c>
      <c r="Y178" s="15"/>
      <c r="Z178" s="288"/>
      <c r="AA178" s="4"/>
      <c r="AB178" s="4"/>
      <c r="AC178" s="4"/>
      <c r="AD178" s="4"/>
      <c r="AE178" s="4"/>
      <c r="AF178" s="4"/>
      <c r="AG178" s="4"/>
      <c r="AH178" s="4"/>
    </row>
    <row r="179" spans="1:34" x14ac:dyDescent="0.3">
      <c r="A179" s="22" t="s">
        <v>21</v>
      </c>
      <c r="B179" s="47" t="s">
        <v>138</v>
      </c>
      <c r="C179" s="16">
        <f>C178*C177</f>
        <v>420614.19999999995</v>
      </c>
      <c r="D179" s="47">
        <f t="shared" ref="D179:P179" si="61">D178*D177</f>
        <v>409769.99999999994</v>
      </c>
      <c r="E179" s="47">
        <f t="shared" si="61"/>
        <v>416232</v>
      </c>
      <c r="F179" s="47">
        <f t="shared" si="61"/>
        <v>394285.2</v>
      </c>
      <c r="G179" s="47">
        <f t="shared" si="61"/>
        <v>376127.5</v>
      </c>
      <c r="H179" s="47">
        <f t="shared" si="61"/>
        <v>375122.7</v>
      </c>
      <c r="I179" s="47">
        <f t="shared" si="61"/>
        <v>365473.99999999994</v>
      </c>
      <c r="J179" s="47">
        <f t="shared" si="61"/>
        <v>344908.39999999997</v>
      </c>
      <c r="K179" s="47">
        <f t="shared" si="61"/>
        <v>339007.4</v>
      </c>
      <c r="L179" s="47">
        <f t="shared" si="61"/>
        <v>326396.40000000002</v>
      </c>
      <c r="M179" s="47">
        <f t="shared" si="61"/>
        <v>307511.2</v>
      </c>
      <c r="N179" s="47">
        <f t="shared" si="61"/>
        <v>291037.39999999997</v>
      </c>
      <c r="O179" s="47">
        <f t="shared" si="61"/>
        <v>304377.2</v>
      </c>
      <c r="P179" s="47">
        <f t="shared" si="61"/>
        <v>283920</v>
      </c>
      <c r="Q179" s="53">
        <f t="shared" ref="Q179:V179" si="62">Q178*Q177</f>
        <v>0</v>
      </c>
      <c r="R179" s="53">
        <f t="shared" si="62"/>
        <v>0</v>
      </c>
      <c r="S179" s="53">
        <f t="shared" si="62"/>
        <v>0</v>
      </c>
      <c r="T179" s="53">
        <f t="shared" si="62"/>
        <v>0</v>
      </c>
      <c r="U179" s="53">
        <f t="shared" si="62"/>
        <v>0</v>
      </c>
      <c r="V179" s="53">
        <f t="shared" si="62"/>
        <v>0</v>
      </c>
      <c r="W179" s="47">
        <f t="shared" ref="W179:X179" si="63">W178*W177</f>
        <v>299910</v>
      </c>
      <c r="X179" s="17">
        <f t="shared" si="63"/>
        <v>299910</v>
      </c>
      <c r="Y179" s="17"/>
      <c r="Z179" s="246"/>
    </row>
    <row r="180" spans="1:34" x14ac:dyDescent="0.3">
      <c r="A180" s="22"/>
      <c r="B180" s="49" t="s">
        <v>34</v>
      </c>
      <c r="C180" s="14">
        <f>'Calcul R84'!C13</f>
        <v>7.1550309657886242</v>
      </c>
      <c r="D180" s="48">
        <f>'Calcul R84'!D13</f>
        <v>6.918433804642004</v>
      </c>
      <c r="E180" s="48">
        <f>'Calcul R84'!E13</f>
        <v>7.7285127513075897</v>
      </c>
      <c r="F180" s="48">
        <f>'Calcul R84'!F13</f>
        <v>7.2365408165564098</v>
      </c>
      <c r="G180" s="48">
        <f>'Calcul R84'!G13</f>
        <v>6.9261540403959154</v>
      </c>
      <c r="H180" s="48">
        <f>'Calcul R84'!H13</f>
        <v>7.1186758253055578</v>
      </c>
      <c r="I180" s="48">
        <f>'Calcul R84'!I13</f>
        <v>6.9837511458257202</v>
      </c>
      <c r="J180" s="48">
        <f>'Calcul R84'!J13</f>
        <v>6.418347226284733</v>
      </c>
      <c r="K180" s="48">
        <f>'Calcul R84'!K13</f>
        <v>6.3184437452591053</v>
      </c>
      <c r="L180" s="48">
        <f>'Calcul R84'!L13</f>
        <v>6.2239096109963556</v>
      </c>
      <c r="M180" s="48">
        <f>'Calcul R84'!M13</f>
        <v>6.0345228314128292</v>
      </c>
      <c r="N180" s="48">
        <f>'Calcul R84'!N13</f>
        <v>5.92703057083411</v>
      </c>
      <c r="O180" s="48">
        <f>'Calcul R84'!O13</f>
        <v>6.3541321604384393</v>
      </c>
      <c r="P180" s="48">
        <f>'Calcul R84'!P13</f>
        <v>6.3098656403836344</v>
      </c>
      <c r="Q180" s="48">
        <f>'Calcul R84'!Q13</f>
        <v>0</v>
      </c>
      <c r="R180" s="48">
        <f>'Calcul R84'!R13</f>
        <v>0</v>
      </c>
      <c r="S180" s="48">
        <f>'Calcul R84'!S13</f>
        <v>0</v>
      </c>
      <c r="T180" s="48">
        <f>'Calcul R84'!T13</f>
        <v>0</v>
      </c>
      <c r="U180" s="48">
        <f>'Calcul R84'!U13</f>
        <v>0</v>
      </c>
      <c r="V180" s="48">
        <f>'Calcul R84'!V13</f>
        <v>0</v>
      </c>
      <c r="W180" s="48">
        <f>'Calcul R84'!W13</f>
        <v>6</v>
      </c>
      <c r="X180" s="15">
        <f>'Calcul R84'!X13</f>
        <v>6.3000000000000007</v>
      </c>
      <c r="Y180" s="15"/>
      <c r="Z180" s="288"/>
      <c r="AA180" s="4"/>
      <c r="AB180" s="4"/>
      <c r="AC180" s="4"/>
      <c r="AD180" s="4"/>
      <c r="AE180" s="4"/>
      <c r="AF180" s="4"/>
      <c r="AG180" s="4"/>
      <c r="AH180" s="4"/>
    </row>
    <row r="181" spans="1:34" x14ac:dyDescent="0.3">
      <c r="A181" s="22"/>
      <c r="B181" s="47" t="s">
        <v>297</v>
      </c>
      <c r="C181" s="16">
        <f t="shared" ref="C181:P181" si="64">C180*C105/1000</f>
        <v>449087.19999999995</v>
      </c>
      <c r="D181" s="47">
        <f t="shared" si="64"/>
        <v>436348</v>
      </c>
      <c r="E181" s="47">
        <f t="shared" si="64"/>
        <v>489802</v>
      </c>
      <c r="F181" s="47">
        <f t="shared" si="64"/>
        <v>460952.19999999995</v>
      </c>
      <c r="G181" s="47">
        <f t="shared" si="64"/>
        <v>443467.5</v>
      </c>
      <c r="H181" s="47">
        <f t="shared" si="64"/>
        <v>457736.69999999995</v>
      </c>
      <c r="I181" s="47">
        <f t="shared" si="64"/>
        <v>450234</v>
      </c>
      <c r="J181" s="47">
        <f t="shared" si="64"/>
        <v>414876.39999999997</v>
      </c>
      <c r="K181" s="47">
        <f t="shared" si="64"/>
        <v>409713.4</v>
      </c>
      <c r="L181" s="47">
        <f t="shared" si="64"/>
        <v>405156.4</v>
      </c>
      <c r="M181" s="47">
        <f t="shared" si="64"/>
        <v>393868.2</v>
      </c>
      <c r="N181" s="47">
        <f t="shared" si="64"/>
        <v>388251.39999999997</v>
      </c>
      <c r="O181" s="47">
        <f t="shared" si="64"/>
        <v>417605.2</v>
      </c>
      <c r="P181" s="47">
        <f t="shared" si="64"/>
        <v>415983.95612317149</v>
      </c>
      <c r="Q181" s="47">
        <f t="shared" ref="Q181:V181" si="65">Q180*Q126/1000</f>
        <v>0</v>
      </c>
      <c r="R181" s="47">
        <f t="shared" si="65"/>
        <v>0</v>
      </c>
      <c r="S181" s="47">
        <f t="shared" si="65"/>
        <v>0</v>
      </c>
      <c r="T181" s="47">
        <f t="shared" si="65"/>
        <v>0</v>
      </c>
      <c r="U181" s="47">
        <f t="shared" si="65"/>
        <v>0</v>
      </c>
      <c r="V181" s="47">
        <f t="shared" si="65"/>
        <v>0</v>
      </c>
      <c r="W181" s="47">
        <f>W180*W105/1000</f>
        <v>400579.32422819996</v>
      </c>
      <c r="X181" s="17">
        <f>X180*X105/1000</f>
        <v>420608.29043961002</v>
      </c>
      <c r="Y181" s="17"/>
      <c r="Z181" s="289"/>
    </row>
    <row r="182" spans="1:34" x14ac:dyDescent="0.3">
      <c r="A182" s="22"/>
      <c r="B182" s="181" t="s">
        <v>298</v>
      </c>
      <c r="C182" s="205">
        <f t="shared" ref="C182:P182" si="66">(C179-C181)/C178</f>
        <v>-1590.6703910614526</v>
      </c>
      <c r="D182" s="181">
        <f t="shared" si="66"/>
        <v>-1527.4712643678195</v>
      </c>
      <c r="E182" s="181">
        <f t="shared" si="66"/>
        <v>-3913.2978723404253</v>
      </c>
      <c r="F182" s="181">
        <f t="shared" si="66"/>
        <v>-3766.4971751412399</v>
      </c>
      <c r="G182" s="181">
        <f t="shared" si="66"/>
        <v>-3848</v>
      </c>
      <c r="H182" s="181">
        <f t="shared" si="66"/>
        <v>-4831.2280701754344</v>
      </c>
      <c r="I182" s="181">
        <f t="shared" si="66"/>
        <v>-5168.2926829268335</v>
      </c>
      <c r="J182" s="181">
        <f t="shared" si="66"/>
        <v>-4266.3414634146347</v>
      </c>
      <c r="K182" s="181">
        <f t="shared" si="66"/>
        <v>-4337.7914110429447</v>
      </c>
      <c r="L182" s="181">
        <f t="shared" si="66"/>
        <v>-4984.8101265822779</v>
      </c>
      <c r="M182" s="181">
        <f t="shared" si="66"/>
        <v>-5681.3815789473683</v>
      </c>
      <c r="N182" s="181">
        <f t="shared" si="66"/>
        <v>-6438.013245033113</v>
      </c>
      <c r="O182" s="181">
        <f t="shared" si="66"/>
        <v>-7599.1946308724828</v>
      </c>
      <c r="P182" s="181">
        <f t="shared" si="66"/>
        <v>-9433.1397230836774</v>
      </c>
      <c r="Q182" s="160"/>
      <c r="R182" s="160"/>
      <c r="S182" s="71"/>
      <c r="T182" s="181"/>
      <c r="U182" s="181"/>
      <c r="V182" s="160"/>
      <c r="W182" s="181">
        <f>(W179-W181)/W178</f>
        <v>-6711.2882818799972</v>
      </c>
      <c r="X182" s="206">
        <f>(X179-X181)/X178</f>
        <v>-8046.5526959740009</v>
      </c>
      <c r="Y182" s="286">
        <f>AVERAGE(L179:P179)/AVERAGE(L181:P181)</f>
        <v>0.74880909070796409</v>
      </c>
      <c r="Z182" s="290"/>
    </row>
    <row r="183" spans="1:34" x14ac:dyDescent="0.3">
      <c r="A183" s="23"/>
      <c r="B183" s="70" t="s">
        <v>392</v>
      </c>
      <c r="C183" s="418">
        <v>5283</v>
      </c>
      <c r="D183" s="244">
        <v>5051</v>
      </c>
      <c r="E183" s="244">
        <v>5358</v>
      </c>
      <c r="F183" s="244">
        <v>4703</v>
      </c>
      <c r="G183" s="244">
        <v>4999</v>
      </c>
      <c r="H183" s="244">
        <v>5017</v>
      </c>
      <c r="I183" s="244">
        <v>4851</v>
      </c>
      <c r="J183" s="244">
        <v>5018</v>
      </c>
      <c r="K183" s="244">
        <v>5017</v>
      </c>
      <c r="L183" s="244">
        <v>5135</v>
      </c>
      <c r="M183" s="244">
        <v>5436</v>
      </c>
      <c r="N183" s="244">
        <v>5367</v>
      </c>
      <c r="O183" s="244">
        <v>5044</v>
      </c>
      <c r="P183" s="244">
        <v>5094</v>
      </c>
      <c r="Q183" s="444"/>
      <c r="R183" s="444"/>
      <c r="S183" s="445"/>
      <c r="T183" s="244"/>
      <c r="U183" s="244"/>
      <c r="V183" s="444"/>
      <c r="W183" s="247">
        <f>AVERAGE(N183:P183)</f>
        <v>5168.333333333333</v>
      </c>
      <c r="X183" s="438">
        <f>W183</f>
        <v>5168.333333333333</v>
      </c>
      <c r="Y183" s="292"/>
      <c r="Z183" s="434"/>
    </row>
    <row r="184" spans="1:34" x14ac:dyDescent="0.3">
      <c r="A184" s="16"/>
      <c r="B184" s="47" t="s">
        <v>139</v>
      </c>
      <c r="C184" s="58">
        <f t="shared" ref="C184:V184" si="67">C183*$F$79</f>
        <v>5283</v>
      </c>
      <c r="D184" s="53">
        <f t="shared" si="67"/>
        <v>5051</v>
      </c>
      <c r="E184" s="53">
        <f t="shared" si="67"/>
        <v>5358</v>
      </c>
      <c r="F184" s="53">
        <f t="shared" si="67"/>
        <v>4703</v>
      </c>
      <c r="G184" s="53">
        <f t="shared" si="67"/>
        <v>4999</v>
      </c>
      <c r="H184" s="53">
        <f t="shared" si="67"/>
        <v>5017</v>
      </c>
      <c r="I184" s="53">
        <f t="shared" si="67"/>
        <v>4851</v>
      </c>
      <c r="J184" s="53">
        <f t="shared" si="67"/>
        <v>5018</v>
      </c>
      <c r="K184" s="53">
        <f t="shared" si="67"/>
        <v>5017</v>
      </c>
      <c r="L184" s="53">
        <f t="shared" si="67"/>
        <v>5135</v>
      </c>
      <c r="M184" s="53">
        <f t="shared" si="67"/>
        <v>5436</v>
      </c>
      <c r="N184" s="53">
        <f t="shared" si="67"/>
        <v>5367</v>
      </c>
      <c r="O184" s="53">
        <f t="shared" si="67"/>
        <v>5044</v>
      </c>
      <c r="P184" s="53">
        <f t="shared" si="67"/>
        <v>5094</v>
      </c>
      <c r="Q184" s="53">
        <f t="shared" si="67"/>
        <v>0</v>
      </c>
      <c r="R184" s="53">
        <f t="shared" si="67"/>
        <v>0</v>
      </c>
      <c r="S184" s="53">
        <f t="shared" si="67"/>
        <v>0</v>
      </c>
      <c r="T184" s="53">
        <f t="shared" si="67"/>
        <v>0</v>
      </c>
      <c r="U184" s="53">
        <f t="shared" si="67"/>
        <v>0</v>
      </c>
      <c r="V184" s="53">
        <f t="shared" si="67"/>
        <v>0</v>
      </c>
      <c r="W184" s="47">
        <f>AVERAGE(N184:P184)</f>
        <v>5168.333333333333</v>
      </c>
      <c r="X184" s="17">
        <f>W184</f>
        <v>5168.333333333333</v>
      </c>
      <c r="Y184" s="13"/>
      <c r="Z184" s="91"/>
    </row>
    <row r="185" spans="1:34" x14ac:dyDescent="0.3">
      <c r="A185" s="14"/>
      <c r="B185" s="48" t="s">
        <v>2</v>
      </c>
      <c r="C185" s="69">
        <v>152.4</v>
      </c>
      <c r="D185" s="238">
        <v>151.69999999999999</v>
      </c>
      <c r="E185" s="238">
        <v>143.30000000000001</v>
      </c>
      <c r="F185" s="238">
        <v>149.4</v>
      </c>
      <c r="G185" s="238">
        <v>153.1</v>
      </c>
      <c r="H185" s="238">
        <v>152.9</v>
      </c>
      <c r="I185" s="238">
        <v>166.4</v>
      </c>
      <c r="J185" s="238">
        <v>157.5</v>
      </c>
      <c r="K185" s="238">
        <v>139.30000000000001</v>
      </c>
      <c r="L185" s="238">
        <v>136.9</v>
      </c>
      <c r="M185" s="238">
        <v>122.2</v>
      </c>
      <c r="N185" s="238">
        <v>128.6</v>
      </c>
      <c r="O185" s="238">
        <v>132.9</v>
      </c>
      <c r="P185" s="240">
        <v>123.6</v>
      </c>
      <c r="Q185" s="250"/>
      <c r="R185" s="250"/>
      <c r="S185" s="251"/>
      <c r="T185" s="240"/>
      <c r="U185" s="240"/>
      <c r="V185" s="250"/>
      <c r="W185" s="92">
        <f>AVERAGE(L185:P185)*(1+'Hypothèses production'!B5)</f>
        <v>128.84</v>
      </c>
      <c r="X185" s="208">
        <f>W185</f>
        <v>128.84</v>
      </c>
      <c r="Y185" s="15"/>
      <c r="Z185" s="288"/>
      <c r="AA185" s="4"/>
      <c r="AB185" s="4"/>
      <c r="AC185" s="4"/>
      <c r="AD185" s="4"/>
      <c r="AE185" s="4"/>
      <c r="AF185" s="4"/>
      <c r="AG185" s="4"/>
      <c r="AH185" s="4"/>
    </row>
    <row r="186" spans="1:34" x14ac:dyDescent="0.3">
      <c r="A186" s="16" t="s">
        <v>12</v>
      </c>
      <c r="B186" s="47" t="s">
        <v>138</v>
      </c>
      <c r="C186" s="16">
        <f>C185*C184</f>
        <v>805129.20000000007</v>
      </c>
      <c r="D186" s="47">
        <f t="shared" ref="D186:O186" si="68">D185*D184</f>
        <v>766236.7</v>
      </c>
      <c r="E186" s="47">
        <f t="shared" si="68"/>
        <v>767801.4</v>
      </c>
      <c r="F186" s="47">
        <f t="shared" si="68"/>
        <v>702628.20000000007</v>
      </c>
      <c r="G186" s="47">
        <f t="shared" si="68"/>
        <v>765346.9</v>
      </c>
      <c r="H186" s="47">
        <f t="shared" si="68"/>
        <v>767099.3</v>
      </c>
      <c r="I186" s="47">
        <f t="shared" si="68"/>
        <v>807206.40000000002</v>
      </c>
      <c r="J186" s="47">
        <f t="shared" si="68"/>
        <v>790335</v>
      </c>
      <c r="K186" s="47">
        <f t="shared" si="68"/>
        <v>698868.10000000009</v>
      </c>
      <c r="L186" s="47">
        <f t="shared" si="68"/>
        <v>702981.5</v>
      </c>
      <c r="M186" s="47">
        <f t="shared" si="68"/>
        <v>664279.20000000007</v>
      </c>
      <c r="N186" s="47">
        <f t="shared" si="68"/>
        <v>690196.2</v>
      </c>
      <c r="O186" s="47">
        <f t="shared" si="68"/>
        <v>670347.6</v>
      </c>
      <c r="P186" s="47">
        <f t="shared" ref="P186" si="69">P185*P184</f>
        <v>629618.4</v>
      </c>
      <c r="Q186" s="53">
        <f t="shared" ref="Q186:V186" si="70">Q185*Q184</f>
        <v>0</v>
      </c>
      <c r="R186" s="53">
        <f t="shared" si="70"/>
        <v>0</v>
      </c>
      <c r="S186" s="53">
        <f t="shared" si="70"/>
        <v>0</v>
      </c>
      <c r="T186" s="53">
        <f t="shared" si="70"/>
        <v>0</v>
      </c>
      <c r="U186" s="53">
        <f t="shared" si="70"/>
        <v>0</v>
      </c>
      <c r="V186" s="53">
        <f t="shared" si="70"/>
        <v>0</v>
      </c>
      <c r="W186" s="47">
        <f t="shared" ref="W186:X186" si="71">W185*W184</f>
        <v>665888.06666666665</v>
      </c>
      <c r="X186" s="17">
        <f t="shared" si="71"/>
        <v>665888.06666666665</v>
      </c>
      <c r="Y186" s="17"/>
      <c r="Z186" s="246"/>
    </row>
    <row r="187" spans="1:34" x14ac:dyDescent="0.3">
      <c r="A187" s="14"/>
      <c r="B187" s="48" t="s">
        <v>296</v>
      </c>
      <c r="C187" s="14">
        <f>'Calcul R84'!C14</f>
        <v>26.3</v>
      </c>
      <c r="D187" s="48">
        <f>'Calcul R84'!D14</f>
        <v>28.4</v>
      </c>
      <c r="E187" s="48">
        <f>'Calcul R84'!E14</f>
        <v>26.6</v>
      </c>
      <c r="F187" s="48">
        <f>'Calcul R84'!F14</f>
        <v>26.8</v>
      </c>
      <c r="G187" s="48">
        <f>'Calcul R84'!G14</f>
        <v>26.6</v>
      </c>
      <c r="H187" s="48">
        <f>'Calcul R84'!H14</f>
        <v>26.5</v>
      </c>
      <c r="I187" s="48">
        <f>'Calcul R84'!I14</f>
        <v>27.9</v>
      </c>
      <c r="J187" s="48">
        <f>'Calcul R84'!J14</f>
        <v>27.2</v>
      </c>
      <c r="K187" s="48">
        <f>'Calcul R84'!K14</f>
        <v>25.7</v>
      </c>
      <c r="L187" s="48">
        <f>'Calcul R84'!L14</f>
        <v>25</v>
      </c>
      <c r="M187" s="48">
        <f>'Calcul R84'!M14</f>
        <v>27</v>
      </c>
      <c r="N187" s="48">
        <f>'Calcul R84'!N14</f>
        <v>26.9</v>
      </c>
      <c r="O187" s="48">
        <f>'Calcul R84'!O14</f>
        <v>26.8</v>
      </c>
      <c r="P187" s="48">
        <f>'Calcul R84'!P14</f>
        <v>26.7</v>
      </c>
      <c r="Q187" s="48">
        <f>'Calcul R84'!Q14</f>
        <v>0</v>
      </c>
      <c r="R187" s="48">
        <f>'Calcul R84'!R14</f>
        <v>0</v>
      </c>
      <c r="S187" s="48">
        <f>'Calcul R84'!S14</f>
        <v>0</v>
      </c>
      <c r="T187" s="48">
        <f>'Calcul R84'!T14</f>
        <v>0</v>
      </c>
      <c r="U187" s="48">
        <f>'Calcul R84'!U14</f>
        <v>0</v>
      </c>
      <c r="V187" s="48">
        <f>'Calcul R84'!V14</f>
        <v>0</v>
      </c>
      <c r="W187" s="48">
        <f>'Calcul R84'!W14</f>
        <v>26</v>
      </c>
      <c r="X187" s="15">
        <f>'Calcul R84'!X14</f>
        <v>27.3</v>
      </c>
      <c r="Y187" s="15"/>
      <c r="Z187" s="288"/>
      <c r="AA187" s="4"/>
      <c r="AB187" s="4"/>
      <c r="AC187" s="4"/>
      <c r="AD187" s="4"/>
      <c r="AE187" s="4"/>
      <c r="AF187" s="4"/>
      <c r="AG187" s="4"/>
      <c r="AH187" s="4"/>
    </row>
    <row r="188" spans="1:34" x14ac:dyDescent="0.3">
      <c r="A188" s="16"/>
      <c r="B188" s="47" t="s">
        <v>297</v>
      </c>
      <c r="C188" s="16">
        <f t="shared" ref="C188:O188" si="72">C187*C105/1000</f>
        <v>1650725.6805</v>
      </c>
      <c r="D188" s="47">
        <f t="shared" si="72"/>
        <v>1791197.7696</v>
      </c>
      <c r="E188" s="47">
        <f t="shared" si="72"/>
        <v>1685800.8286000001</v>
      </c>
      <c r="F188" s="47">
        <f t="shared" si="72"/>
        <v>1707102.7819999999</v>
      </c>
      <c r="G188" s="47">
        <f t="shared" si="72"/>
        <v>1703143.6828000003</v>
      </c>
      <c r="H188" s="47">
        <f t="shared" si="72"/>
        <v>1703971.7564999999</v>
      </c>
      <c r="I188" s="47">
        <f t="shared" si="72"/>
        <v>1798679.2967999999</v>
      </c>
      <c r="J188" s="47">
        <f t="shared" si="72"/>
        <v>1758184.4175999998</v>
      </c>
      <c r="K188" s="47">
        <f t="shared" si="72"/>
        <v>1666491.7508999999</v>
      </c>
      <c r="L188" s="47">
        <f t="shared" si="72"/>
        <v>1627419.2</v>
      </c>
      <c r="M188" s="47">
        <f t="shared" si="72"/>
        <v>1762267.1580000001</v>
      </c>
      <c r="N188" s="47">
        <f t="shared" si="72"/>
        <v>1762090.2296999998</v>
      </c>
      <c r="O188" s="47">
        <f t="shared" si="72"/>
        <v>1761345.0707999999</v>
      </c>
      <c r="P188" s="47">
        <f t="shared" ref="P188" si="73">P187*P105/1000</f>
        <v>1760223.1587</v>
      </c>
      <c r="Q188" s="47">
        <f t="shared" ref="Q188:V188" si="74">Q187*Q133/1000</f>
        <v>0</v>
      </c>
      <c r="R188" s="47">
        <f t="shared" si="74"/>
        <v>0</v>
      </c>
      <c r="S188" s="47">
        <f t="shared" si="74"/>
        <v>0</v>
      </c>
      <c r="T188" s="47">
        <f t="shared" si="74"/>
        <v>0</v>
      </c>
      <c r="U188" s="47">
        <f t="shared" si="74"/>
        <v>0</v>
      </c>
      <c r="V188" s="47">
        <f t="shared" si="74"/>
        <v>0</v>
      </c>
      <c r="W188" s="47">
        <f>W187*W105/1000</f>
        <v>1735843.7383221998</v>
      </c>
      <c r="X188" s="17">
        <f>X187*X105/1000</f>
        <v>1822635.9252383099</v>
      </c>
      <c r="Y188" s="17"/>
      <c r="Z188" s="289"/>
    </row>
    <row r="189" spans="1:34" x14ac:dyDescent="0.3">
      <c r="A189" s="205"/>
      <c r="B189" s="181" t="s">
        <v>298</v>
      </c>
      <c r="C189" s="205">
        <f t="shared" ref="C189:O189" si="75">(C186-C188)/C185</f>
        <v>-5548.5333366141731</v>
      </c>
      <c r="D189" s="181">
        <f t="shared" si="75"/>
        <v>-6756.5001292023735</v>
      </c>
      <c r="E189" s="181">
        <f t="shared" si="75"/>
        <v>-6406.136975575715</v>
      </c>
      <c r="F189" s="181">
        <f t="shared" si="75"/>
        <v>-6723.3907764390879</v>
      </c>
      <c r="G189" s="181">
        <f t="shared" si="75"/>
        <v>-6125.3872161985655</v>
      </c>
      <c r="H189" s="181">
        <f t="shared" si="75"/>
        <v>-6127.354195552648</v>
      </c>
      <c r="I189" s="181">
        <f t="shared" si="75"/>
        <v>-5958.3707740384607</v>
      </c>
      <c r="J189" s="181">
        <f t="shared" si="75"/>
        <v>-6145.0756673015858</v>
      </c>
      <c r="K189" s="181">
        <f t="shared" si="75"/>
        <v>-6946.3291521895171</v>
      </c>
      <c r="L189" s="181">
        <f t="shared" si="75"/>
        <v>-6752.6493791088378</v>
      </c>
      <c r="M189" s="181">
        <f t="shared" si="75"/>
        <v>-8985.1715057283145</v>
      </c>
      <c r="N189" s="181">
        <f t="shared" si="75"/>
        <v>-8335.1013195956439</v>
      </c>
      <c r="O189" s="181">
        <f t="shared" si="75"/>
        <v>-8209.1608036117359</v>
      </c>
      <c r="P189" s="181">
        <f t="shared" ref="P189" si="76">(P186-P188)/P185</f>
        <v>-9147.2876917475751</v>
      </c>
      <c r="Q189" s="160"/>
      <c r="R189" s="160"/>
      <c r="S189" s="71"/>
      <c r="T189" s="181"/>
      <c r="U189" s="181"/>
      <c r="V189" s="160"/>
      <c r="W189" s="181">
        <f>(W186-W188)/W185</f>
        <v>-8304.5302053363321</v>
      </c>
      <c r="X189" s="206">
        <f>(X186-X188)/X185</f>
        <v>-8978.173382269817</v>
      </c>
      <c r="Y189" s="286">
        <f>AVERAGE(L186:P186)/AVERAGE(L188:P188)</f>
        <v>0.38709667040354923</v>
      </c>
      <c r="Z189" s="290"/>
    </row>
    <row r="190" spans="1:34" x14ac:dyDescent="0.3">
      <c r="A190" s="144"/>
      <c r="B190" s="70" t="s">
        <v>392</v>
      </c>
      <c r="C190" s="439">
        <v>5508</v>
      </c>
      <c r="D190" s="204">
        <v>5440</v>
      </c>
      <c r="E190" s="204">
        <v>5320</v>
      </c>
      <c r="F190" s="204">
        <v>5380</v>
      </c>
      <c r="G190" s="204">
        <v>5428</v>
      </c>
      <c r="H190" s="204">
        <v>5282</v>
      </c>
      <c r="I190" s="204">
        <v>5270</v>
      </c>
      <c r="J190" s="204">
        <v>5381</v>
      </c>
      <c r="K190" s="204">
        <v>5457</v>
      </c>
      <c r="L190" s="204">
        <v>5619</v>
      </c>
      <c r="M190" s="204">
        <v>5557</v>
      </c>
      <c r="N190" s="204">
        <v>5866</v>
      </c>
      <c r="O190" s="204">
        <v>5366</v>
      </c>
      <c r="P190" s="204">
        <v>5320</v>
      </c>
      <c r="Q190" s="444"/>
      <c r="R190" s="444"/>
      <c r="S190" s="445"/>
      <c r="T190" s="244"/>
      <c r="U190" s="244"/>
      <c r="V190" s="444"/>
      <c r="W190" s="247">
        <f>AVERAGE(N190:P190)</f>
        <v>5517.333333333333</v>
      </c>
      <c r="X190" s="438">
        <f>W190</f>
        <v>5517.333333333333</v>
      </c>
      <c r="Y190" s="292"/>
      <c r="Z190" s="434"/>
    </row>
    <row r="191" spans="1:34" x14ac:dyDescent="0.3">
      <c r="A191" s="22"/>
      <c r="B191" s="47" t="s">
        <v>139</v>
      </c>
      <c r="C191" s="58">
        <f t="shared" ref="C191:V191" si="77">C190*$F$79</f>
        <v>5508</v>
      </c>
      <c r="D191" s="53">
        <f t="shared" si="77"/>
        <v>5440</v>
      </c>
      <c r="E191" s="53">
        <f t="shared" si="77"/>
        <v>5320</v>
      </c>
      <c r="F191" s="53">
        <f t="shared" si="77"/>
        <v>5380</v>
      </c>
      <c r="G191" s="53">
        <f t="shared" si="77"/>
        <v>5428</v>
      </c>
      <c r="H191" s="53">
        <f t="shared" si="77"/>
        <v>5282</v>
      </c>
      <c r="I191" s="53">
        <f t="shared" si="77"/>
        <v>5270</v>
      </c>
      <c r="J191" s="53">
        <f t="shared" si="77"/>
        <v>5381</v>
      </c>
      <c r="K191" s="53">
        <f t="shared" si="77"/>
        <v>5457</v>
      </c>
      <c r="L191" s="53">
        <f t="shared" si="77"/>
        <v>5619</v>
      </c>
      <c r="M191" s="53">
        <f t="shared" si="77"/>
        <v>5557</v>
      </c>
      <c r="N191" s="53">
        <f t="shared" si="77"/>
        <v>5866</v>
      </c>
      <c r="O191" s="53">
        <f t="shared" si="77"/>
        <v>5366</v>
      </c>
      <c r="P191" s="53">
        <f t="shared" si="77"/>
        <v>5320</v>
      </c>
      <c r="Q191" s="53">
        <f t="shared" si="77"/>
        <v>0</v>
      </c>
      <c r="R191" s="53">
        <f t="shared" si="77"/>
        <v>0</v>
      </c>
      <c r="S191" s="53">
        <f t="shared" si="77"/>
        <v>0</v>
      </c>
      <c r="T191" s="53">
        <f t="shared" si="77"/>
        <v>0</v>
      </c>
      <c r="U191" s="53">
        <f t="shared" si="77"/>
        <v>0</v>
      </c>
      <c r="V191" s="53">
        <f t="shared" si="77"/>
        <v>0</v>
      </c>
      <c r="W191" s="47">
        <f>AVERAGE(N191:P191)</f>
        <v>5517.333333333333</v>
      </c>
      <c r="X191" s="17">
        <f>W191</f>
        <v>5517.333333333333</v>
      </c>
      <c r="Y191" s="13"/>
      <c r="Z191" s="91"/>
    </row>
    <row r="192" spans="1:34" x14ac:dyDescent="0.3">
      <c r="A192" s="22"/>
      <c r="B192" s="48" t="s">
        <v>2</v>
      </c>
      <c r="C192" s="69">
        <v>30.6</v>
      </c>
      <c r="D192" s="238">
        <v>31.2</v>
      </c>
      <c r="E192" s="238">
        <v>29.7</v>
      </c>
      <c r="F192" s="238">
        <v>31.2</v>
      </c>
      <c r="G192" s="238">
        <v>32</v>
      </c>
      <c r="H192" s="238">
        <v>32.1</v>
      </c>
      <c r="I192" s="238">
        <v>31.1</v>
      </c>
      <c r="J192" s="238">
        <v>31.9</v>
      </c>
      <c r="K192" s="238">
        <v>30.5</v>
      </c>
      <c r="L192" s="238">
        <v>29.4</v>
      </c>
      <c r="M192" s="238">
        <v>29.9</v>
      </c>
      <c r="N192" s="238">
        <v>31.5</v>
      </c>
      <c r="O192" s="238">
        <v>28.6</v>
      </c>
      <c r="P192" s="240">
        <v>33</v>
      </c>
      <c r="Q192" s="250"/>
      <c r="R192" s="250"/>
      <c r="S192" s="251"/>
      <c r="T192" s="240"/>
      <c r="U192" s="240"/>
      <c r="V192" s="250"/>
      <c r="W192" s="92">
        <f>AVERAGE(L192:P192)*(1+'Hypothèses production'!B5)</f>
        <v>30.48</v>
      </c>
      <c r="X192" s="208">
        <f>W192</f>
        <v>30.48</v>
      </c>
      <c r="Y192" s="15"/>
      <c r="Z192" s="288"/>
      <c r="AA192" s="4"/>
      <c r="AB192" s="4"/>
      <c r="AC192" s="4"/>
      <c r="AD192" s="4"/>
      <c r="AE192" s="4"/>
      <c r="AF192" s="4"/>
      <c r="AG192" s="4"/>
      <c r="AH192" s="4"/>
    </row>
    <row r="193" spans="1:34" x14ac:dyDescent="0.3">
      <c r="A193" s="22" t="s">
        <v>20</v>
      </c>
      <c r="B193" s="47" t="s">
        <v>138</v>
      </c>
      <c r="C193" s="16">
        <f>C192*C191</f>
        <v>168544.80000000002</v>
      </c>
      <c r="D193" s="47">
        <f t="shared" ref="D193:O193" si="78">D192*D191</f>
        <v>169728</v>
      </c>
      <c r="E193" s="47">
        <f t="shared" si="78"/>
        <v>158004</v>
      </c>
      <c r="F193" s="47">
        <f t="shared" si="78"/>
        <v>167856</v>
      </c>
      <c r="G193" s="47">
        <f t="shared" si="78"/>
        <v>173696</v>
      </c>
      <c r="H193" s="47">
        <f t="shared" si="78"/>
        <v>169552.2</v>
      </c>
      <c r="I193" s="47">
        <f t="shared" si="78"/>
        <v>163897</v>
      </c>
      <c r="J193" s="47">
        <f t="shared" si="78"/>
        <v>171653.9</v>
      </c>
      <c r="K193" s="47">
        <f t="shared" si="78"/>
        <v>166438.5</v>
      </c>
      <c r="L193" s="47">
        <f t="shared" si="78"/>
        <v>165198.6</v>
      </c>
      <c r="M193" s="47">
        <f t="shared" si="78"/>
        <v>166154.29999999999</v>
      </c>
      <c r="N193" s="47">
        <f t="shared" si="78"/>
        <v>184779</v>
      </c>
      <c r="O193" s="47">
        <f t="shared" si="78"/>
        <v>153467.6</v>
      </c>
      <c r="P193" s="47">
        <f t="shared" ref="P193" si="79">P192*P191</f>
        <v>175560</v>
      </c>
      <c r="Q193" s="53">
        <f t="shared" ref="Q193:V193" si="80">Q192*Q191</f>
        <v>0</v>
      </c>
      <c r="R193" s="53">
        <f t="shared" si="80"/>
        <v>0</v>
      </c>
      <c r="S193" s="53">
        <f t="shared" si="80"/>
        <v>0</v>
      </c>
      <c r="T193" s="53">
        <f t="shared" si="80"/>
        <v>0</v>
      </c>
      <c r="U193" s="53">
        <f t="shared" si="80"/>
        <v>0</v>
      </c>
      <c r="V193" s="53">
        <f t="shared" si="80"/>
        <v>0</v>
      </c>
      <c r="W193" s="47">
        <f t="shared" ref="W193:X193" si="81">W192*W191</f>
        <v>168168.32000000001</v>
      </c>
      <c r="X193" s="17">
        <f t="shared" si="81"/>
        <v>168168.32000000001</v>
      </c>
      <c r="Y193" s="17"/>
      <c r="Z193" s="246"/>
    </row>
    <row r="194" spans="1:34" x14ac:dyDescent="0.3">
      <c r="A194" s="22"/>
      <c r="B194" s="49" t="s">
        <v>34</v>
      </c>
      <c r="C194" s="14">
        <f>'Calcul R84'!C15</f>
        <v>2.961843447252289</v>
      </c>
      <c r="D194" s="48">
        <f>'Calcul R84'!D15</f>
        <v>2.7464889045158847</v>
      </c>
      <c r="E194" s="48">
        <f>'Calcul R84'!E15</f>
        <v>2.6065872821104388</v>
      </c>
      <c r="F194" s="48">
        <f>'Calcul R84'!F15</f>
        <v>2.8657318420326963</v>
      </c>
      <c r="G194" s="48">
        <f>'Calcul R84'!G15</f>
        <v>2.8227356555709617</v>
      </c>
      <c r="H194" s="48">
        <f>'Calcul R84'!H15</f>
        <v>2.6308870924058652</v>
      </c>
      <c r="I194" s="48">
        <f>'Calcul R84'!I15</f>
        <v>2.5936580291437754</v>
      </c>
      <c r="J194" s="48">
        <f>'Calcul R84'!J15</f>
        <v>2.7068107488384783</v>
      </c>
      <c r="K194" s="48">
        <f>'Calcul R84'!K15</f>
        <v>2.6412683096828165</v>
      </c>
      <c r="L194" s="48">
        <f>'Calcul R84'!L15</f>
        <v>2.5767423660726134</v>
      </c>
      <c r="M194" s="48">
        <f>'Calcul R84'!M15</f>
        <v>2.7287667923503345</v>
      </c>
      <c r="N194" s="48">
        <f>'Calcul R84'!N15</f>
        <v>2.9686950258447369</v>
      </c>
      <c r="O194" s="48">
        <f>'Calcul R84'!O15</f>
        <v>2.439670312898008</v>
      </c>
      <c r="P194" s="48">
        <f>'Calcul R84'!P15</f>
        <v>2.4472115237857568</v>
      </c>
      <c r="Q194" s="48">
        <f>'Calcul R84'!Q15</f>
        <v>0</v>
      </c>
      <c r="R194" s="48">
        <f>'Calcul R84'!R15</f>
        <v>0</v>
      </c>
      <c r="S194" s="48">
        <f>'Calcul R84'!S15</f>
        <v>0</v>
      </c>
      <c r="T194" s="48">
        <f>'Calcul R84'!T15</f>
        <v>0</v>
      </c>
      <c r="U194" s="48">
        <f>'Calcul R84'!U15</f>
        <v>0</v>
      </c>
      <c r="V194" s="48">
        <f>'Calcul R84'!V15</f>
        <v>0</v>
      </c>
      <c r="W194" s="48">
        <f>'Calcul R84'!W15</f>
        <v>2.5</v>
      </c>
      <c r="X194" s="15">
        <f>'Calcul R84'!X15</f>
        <v>2.625</v>
      </c>
      <c r="Y194" s="15"/>
      <c r="Z194" s="288"/>
      <c r="AA194" s="4"/>
      <c r="AB194" s="4"/>
      <c r="AC194" s="4"/>
      <c r="AD194" s="4"/>
      <c r="AE194" s="4"/>
      <c r="AF194" s="4"/>
      <c r="AG194" s="4"/>
      <c r="AH194" s="4"/>
    </row>
    <row r="195" spans="1:34" x14ac:dyDescent="0.3">
      <c r="A195" s="24"/>
      <c r="B195" s="47" t="s">
        <v>297</v>
      </c>
      <c r="C195" s="16">
        <f t="shared" ref="C195:O195" si="82">C194*C105/1000</f>
        <v>185900.80000000002</v>
      </c>
      <c r="D195" s="47">
        <f t="shared" si="82"/>
        <v>173222</v>
      </c>
      <c r="E195" s="47">
        <f t="shared" si="82"/>
        <v>165195</v>
      </c>
      <c r="F195" s="47">
        <f t="shared" si="82"/>
        <v>182541</v>
      </c>
      <c r="G195" s="47">
        <f t="shared" si="82"/>
        <v>180734</v>
      </c>
      <c r="H195" s="47">
        <f t="shared" si="82"/>
        <v>169168.2</v>
      </c>
      <c r="I195" s="47">
        <f t="shared" si="82"/>
        <v>167210</v>
      </c>
      <c r="J195" s="47">
        <f t="shared" si="82"/>
        <v>174965.9</v>
      </c>
      <c r="K195" s="47">
        <f t="shared" si="82"/>
        <v>171270.5</v>
      </c>
      <c r="L195" s="47">
        <f t="shared" si="82"/>
        <v>167737.60000000001</v>
      </c>
      <c r="M195" s="47">
        <f t="shared" si="82"/>
        <v>178104.3</v>
      </c>
      <c r="N195" s="47">
        <f t="shared" si="82"/>
        <v>194465</v>
      </c>
      <c r="O195" s="47">
        <f t="shared" si="82"/>
        <v>160339.6</v>
      </c>
      <c r="P195" s="47">
        <f t="shared" ref="P195" si="83">P194*P105/1000</f>
        <v>161334.77147585037</v>
      </c>
      <c r="Q195" s="47">
        <f t="shared" ref="Q195:V195" si="84">Q194*Q140/1000</f>
        <v>0</v>
      </c>
      <c r="R195" s="47">
        <f t="shared" si="84"/>
        <v>0</v>
      </c>
      <c r="S195" s="47">
        <f t="shared" si="84"/>
        <v>0</v>
      </c>
      <c r="T195" s="47">
        <f t="shared" si="84"/>
        <v>0</v>
      </c>
      <c r="U195" s="47">
        <f t="shared" si="84"/>
        <v>0</v>
      </c>
      <c r="V195" s="47">
        <f t="shared" si="84"/>
        <v>0</v>
      </c>
      <c r="W195" s="47">
        <f>W194*W105/1000</f>
        <v>166908.05176174999</v>
      </c>
      <c r="X195" s="17">
        <f>X194*X105/1000</f>
        <v>175253.45434983747</v>
      </c>
      <c r="Y195" s="17"/>
      <c r="Z195" s="289"/>
    </row>
    <row r="196" spans="1:34" x14ac:dyDescent="0.3">
      <c r="A196" s="24"/>
      <c r="B196" s="181" t="s">
        <v>298</v>
      </c>
      <c r="C196" s="205">
        <f t="shared" ref="C196:O196" si="85">(C193-C195)/C192</f>
        <v>-567.18954248366015</v>
      </c>
      <c r="D196" s="181">
        <f t="shared" si="85"/>
        <v>-111.98717948717949</v>
      </c>
      <c r="E196" s="181">
        <f t="shared" si="85"/>
        <v>-242.12121212121212</v>
      </c>
      <c r="F196" s="181">
        <f t="shared" si="85"/>
        <v>-470.67307692307691</v>
      </c>
      <c r="G196" s="181">
        <f t="shared" si="85"/>
        <v>-219.9375</v>
      </c>
      <c r="H196" s="181">
        <f t="shared" si="85"/>
        <v>11.962616822429906</v>
      </c>
      <c r="I196" s="181">
        <f t="shared" si="85"/>
        <v>-106.52733118971061</v>
      </c>
      <c r="J196" s="181">
        <f t="shared" si="85"/>
        <v>-103.82445141065831</v>
      </c>
      <c r="K196" s="181">
        <f t="shared" si="85"/>
        <v>-158.42622950819671</v>
      </c>
      <c r="L196" s="181">
        <f t="shared" si="85"/>
        <v>-86.360544217687078</v>
      </c>
      <c r="M196" s="181">
        <f t="shared" si="85"/>
        <v>-399.66555183946491</v>
      </c>
      <c r="N196" s="181">
        <f t="shared" si="85"/>
        <v>-307.49206349206349</v>
      </c>
      <c r="O196" s="181">
        <f t="shared" si="85"/>
        <v>-240.27972027972027</v>
      </c>
      <c r="P196" s="181">
        <f t="shared" ref="P196" si="86">(P193-P195)/P192</f>
        <v>431.0675310348372</v>
      </c>
      <c r="Q196" s="160"/>
      <c r="R196" s="160"/>
      <c r="S196" s="71"/>
      <c r="T196" s="181"/>
      <c r="U196" s="181"/>
      <c r="V196" s="160"/>
      <c r="W196" s="181">
        <f>(W193-W195)/W192</f>
        <v>41.347383144685715</v>
      </c>
      <c r="X196" s="206">
        <f>(X193-X195)/X192</f>
        <v>-232.45191436474616</v>
      </c>
      <c r="Y196" s="286">
        <f>AVERAGE(L193:P193)/AVERAGE(L195:P195)</f>
        <v>0.98048475989849659</v>
      </c>
      <c r="Z196" s="290"/>
    </row>
    <row r="197" spans="1:34" x14ac:dyDescent="0.3">
      <c r="A197" s="171"/>
      <c r="B197" s="367" t="s">
        <v>392</v>
      </c>
      <c r="C197" s="418">
        <v>14501</v>
      </c>
      <c r="D197" s="244">
        <v>13586</v>
      </c>
      <c r="E197" s="244">
        <v>12283</v>
      </c>
      <c r="F197" s="244">
        <v>12272</v>
      </c>
      <c r="G197" s="244">
        <v>12452</v>
      </c>
      <c r="H197" s="244">
        <v>12797</v>
      </c>
      <c r="I197" s="244">
        <v>13612</v>
      </c>
      <c r="J197" s="244">
        <v>13595</v>
      </c>
      <c r="K197" s="244">
        <v>13679</v>
      </c>
      <c r="L197" s="244">
        <v>14733</v>
      </c>
      <c r="M197" s="244">
        <v>16092</v>
      </c>
      <c r="N197" s="244">
        <v>16260</v>
      </c>
      <c r="O197" s="244">
        <v>14398</v>
      </c>
      <c r="P197" s="244">
        <v>14958</v>
      </c>
      <c r="Q197" s="444"/>
      <c r="R197" s="444"/>
      <c r="S197" s="445"/>
      <c r="T197" s="244"/>
      <c r="U197" s="244"/>
      <c r="V197" s="444"/>
      <c r="W197" s="247">
        <f>AVERAGE(N197:P197)</f>
        <v>15205.333333333334</v>
      </c>
      <c r="X197" s="438">
        <f>W197</f>
        <v>15205.333333333334</v>
      </c>
      <c r="Y197" s="292"/>
      <c r="Z197" s="434"/>
    </row>
    <row r="198" spans="1:34" x14ac:dyDescent="0.3">
      <c r="A198" s="22"/>
      <c r="B198" s="17" t="s">
        <v>139</v>
      </c>
      <c r="C198" s="58">
        <f t="shared" ref="C198:V198" si="87">C197*$F$79</f>
        <v>14501</v>
      </c>
      <c r="D198" s="53">
        <f t="shared" si="87"/>
        <v>13586</v>
      </c>
      <c r="E198" s="53">
        <f t="shared" si="87"/>
        <v>12283</v>
      </c>
      <c r="F198" s="53">
        <f t="shared" si="87"/>
        <v>12272</v>
      </c>
      <c r="G198" s="53">
        <f t="shared" si="87"/>
        <v>12452</v>
      </c>
      <c r="H198" s="53">
        <f t="shared" si="87"/>
        <v>12797</v>
      </c>
      <c r="I198" s="53">
        <f t="shared" si="87"/>
        <v>13612</v>
      </c>
      <c r="J198" s="53">
        <f t="shared" si="87"/>
        <v>13595</v>
      </c>
      <c r="K198" s="53">
        <f t="shared" si="87"/>
        <v>13679</v>
      </c>
      <c r="L198" s="53">
        <f t="shared" si="87"/>
        <v>14733</v>
      </c>
      <c r="M198" s="53">
        <f t="shared" si="87"/>
        <v>16092</v>
      </c>
      <c r="N198" s="53">
        <f t="shared" si="87"/>
        <v>16260</v>
      </c>
      <c r="O198" s="53">
        <f t="shared" si="87"/>
        <v>14398</v>
      </c>
      <c r="P198" s="53">
        <f t="shared" si="87"/>
        <v>14958</v>
      </c>
      <c r="Q198" s="53">
        <f t="shared" si="87"/>
        <v>0</v>
      </c>
      <c r="R198" s="53">
        <f t="shared" si="87"/>
        <v>0</v>
      </c>
      <c r="S198" s="53">
        <f t="shared" si="87"/>
        <v>0</v>
      </c>
      <c r="T198" s="53">
        <f t="shared" si="87"/>
        <v>0</v>
      </c>
      <c r="U198" s="53">
        <f t="shared" si="87"/>
        <v>0</v>
      </c>
      <c r="V198" s="53">
        <f t="shared" si="87"/>
        <v>0</v>
      </c>
      <c r="W198" s="47">
        <f>AVERAGE(N198:P198)</f>
        <v>15205.333333333334</v>
      </c>
      <c r="X198" s="17">
        <f>W198</f>
        <v>15205.333333333334</v>
      </c>
      <c r="Y198" s="13"/>
      <c r="Z198" s="91"/>
    </row>
    <row r="199" spans="1:34" x14ac:dyDescent="0.3">
      <c r="A199" s="22"/>
      <c r="B199" s="15" t="s">
        <v>2</v>
      </c>
      <c r="C199" s="56">
        <v>42.9</v>
      </c>
      <c r="D199" s="57">
        <v>46.3</v>
      </c>
      <c r="E199" s="57">
        <v>45</v>
      </c>
      <c r="F199" s="57">
        <v>47.4</v>
      </c>
      <c r="G199" s="57">
        <v>45.5</v>
      </c>
      <c r="H199" s="57">
        <v>46.2</v>
      </c>
      <c r="I199" s="57">
        <v>43.6</v>
      </c>
      <c r="J199" s="57">
        <v>45.9</v>
      </c>
      <c r="K199" s="57">
        <v>42.5</v>
      </c>
      <c r="L199" s="57">
        <v>42.2</v>
      </c>
      <c r="M199" s="57">
        <v>40.299999999999997</v>
      </c>
      <c r="N199" s="57">
        <v>43.4</v>
      </c>
      <c r="O199" s="57">
        <v>42.8</v>
      </c>
      <c r="P199" s="57">
        <v>41.9</v>
      </c>
      <c r="Q199" s="29"/>
      <c r="R199" s="29"/>
      <c r="S199" s="83"/>
      <c r="T199" s="57"/>
      <c r="U199" s="57"/>
      <c r="V199" s="29"/>
      <c r="W199" s="92">
        <f>AVERAGE(L199:P199)*(1+'Hypothèses production'!B5)</f>
        <v>42.12</v>
      </c>
      <c r="X199" s="208">
        <f>W199</f>
        <v>42.12</v>
      </c>
      <c r="Y199" s="15"/>
      <c r="Z199" s="288"/>
      <c r="AA199" s="4"/>
      <c r="AB199" s="4"/>
      <c r="AC199" s="4"/>
      <c r="AD199" s="4"/>
      <c r="AE199" s="4"/>
      <c r="AF199" s="4"/>
      <c r="AG199" s="4"/>
      <c r="AH199" s="4"/>
    </row>
    <row r="200" spans="1:34" x14ac:dyDescent="0.3">
      <c r="A200" s="22" t="s">
        <v>135</v>
      </c>
      <c r="B200" s="17" t="s">
        <v>138</v>
      </c>
      <c r="C200" s="16">
        <f>C199*C198</f>
        <v>622092.9</v>
      </c>
      <c r="D200" s="47">
        <f t="shared" ref="D200:O200" si="88">D199*D198</f>
        <v>629031.79999999993</v>
      </c>
      <c r="E200" s="47">
        <f t="shared" si="88"/>
        <v>552735</v>
      </c>
      <c r="F200" s="47">
        <f t="shared" si="88"/>
        <v>581692.79999999993</v>
      </c>
      <c r="G200" s="47">
        <f t="shared" si="88"/>
        <v>566566</v>
      </c>
      <c r="H200" s="47">
        <f t="shared" si="88"/>
        <v>591221.4</v>
      </c>
      <c r="I200" s="47">
        <f t="shared" si="88"/>
        <v>593483.20000000007</v>
      </c>
      <c r="J200" s="47">
        <f t="shared" si="88"/>
        <v>624010.5</v>
      </c>
      <c r="K200" s="47">
        <f t="shared" si="88"/>
        <v>581357.5</v>
      </c>
      <c r="L200" s="47">
        <f t="shared" si="88"/>
        <v>621732.60000000009</v>
      </c>
      <c r="M200" s="47">
        <f t="shared" si="88"/>
        <v>648507.6</v>
      </c>
      <c r="N200" s="47">
        <f t="shared" si="88"/>
        <v>705684</v>
      </c>
      <c r="O200" s="47">
        <f t="shared" si="88"/>
        <v>616234.39999999991</v>
      </c>
      <c r="P200" s="47">
        <f t="shared" ref="P200" si="89">P199*P198</f>
        <v>626740.19999999995</v>
      </c>
      <c r="Q200" s="53">
        <f t="shared" ref="Q200:V200" si="90">Q199*Q198</f>
        <v>0</v>
      </c>
      <c r="R200" s="53">
        <f t="shared" si="90"/>
        <v>0</v>
      </c>
      <c r="S200" s="53">
        <f t="shared" si="90"/>
        <v>0</v>
      </c>
      <c r="T200" s="53">
        <f t="shared" si="90"/>
        <v>0</v>
      </c>
      <c r="U200" s="53">
        <f t="shared" si="90"/>
        <v>0</v>
      </c>
      <c r="V200" s="53">
        <f t="shared" si="90"/>
        <v>0</v>
      </c>
      <c r="W200" s="47">
        <f t="shared" ref="W200:X200" si="91">W199*W198</f>
        <v>640448.64</v>
      </c>
      <c r="X200" s="17">
        <f t="shared" si="91"/>
        <v>640448.64</v>
      </c>
      <c r="Y200" s="17"/>
      <c r="Z200" s="246"/>
    </row>
    <row r="201" spans="1:34" x14ac:dyDescent="0.3">
      <c r="A201" s="22"/>
      <c r="B201" s="21" t="s">
        <v>34</v>
      </c>
      <c r="C201" s="14">
        <f>'Calcul R84'!C16</f>
        <v>10.524295814394705</v>
      </c>
      <c r="D201" s="48">
        <f>'Calcul R84'!D16</f>
        <v>10.038470695514201</v>
      </c>
      <c r="E201" s="48">
        <f>'Calcul R84'!E16</f>
        <v>9.2499253384220346</v>
      </c>
      <c r="F201" s="48">
        <f>'Calcul R84'!F16</f>
        <v>9.4780696338880421</v>
      </c>
      <c r="G201" s="48">
        <f>'Calcul R84'!G16</f>
        <v>9.6024770928974501</v>
      </c>
      <c r="H201" s="48">
        <f>'Calcul R84'!H16</f>
        <v>9.5050948105312685</v>
      </c>
      <c r="I201" s="48">
        <f>'Calcul R84'!I16</f>
        <v>9.4341026275162729</v>
      </c>
      <c r="J201" s="48">
        <f>'Calcul R84'!J16</f>
        <v>10.443820463990443</v>
      </c>
      <c r="K201" s="48">
        <f>'Calcul R84'!K16</f>
        <v>10.186572745308871</v>
      </c>
      <c r="L201" s="48">
        <f>'Calcul R84'!L16</f>
        <v>10.623501308083377</v>
      </c>
      <c r="M201" s="48">
        <f>'Calcul R84'!M16</f>
        <v>11.231241023899283</v>
      </c>
      <c r="N201" s="48">
        <f>'Calcul R84'!N16</f>
        <v>12.18154958140507</v>
      </c>
      <c r="O201" s="48">
        <f>'Calcul R84'!O16</f>
        <v>10.520391618425846</v>
      </c>
      <c r="P201" s="48">
        <f>'Calcul R84'!P16</f>
        <v>10.630342666122615</v>
      </c>
      <c r="Q201" s="48">
        <f>'Calcul R84'!Q16</f>
        <v>0</v>
      </c>
      <c r="R201" s="48">
        <f>'Calcul R84'!R16</f>
        <v>0</v>
      </c>
      <c r="S201" s="48">
        <f>'Calcul R84'!S16</f>
        <v>0</v>
      </c>
      <c r="T201" s="48">
        <f>'Calcul R84'!T16</f>
        <v>0</v>
      </c>
      <c r="U201" s="48">
        <f>'Calcul R84'!U16</f>
        <v>0</v>
      </c>
      <c r="V201" s="48">
        <f>'Calcul R84'!V16</f>
        <v>0</v>
      </c>
      <c r="W201" s="48">
        <f>'Calcul R84'!W16</f>
        <v>11.4</v>
      </c>
      <c r="X201" s="15">
        <f>'Calcul R84'!X16</f>
        <v>11.97</v>
      </c>
      <c r="Y201" s="15"/>
      <c r="Z201" s="288"/>
      <c r="AA201" s="4"/>
      <c r="AB201" s="4"/>
      <c r="AC201" s="4"/>
      <c r="AD201" s="4"/>
      <c r="AE201" s="4"/>
      <c r="AF201" s="4"/>
      <c r="AG201" s="4"/>
      <c r="AH201" s="4"/>
    </row>
    <row r="202" spans="1:34" x14ac:dyDescent="0.3">
      <c r="A202" s="24"/>
      <c r="B202" s="17" t="s">
        <v>297</v>
      </c>
      <c r="C202" s="16">
        <f t="shared" ref="C202:O202" si="92">C201*C105/1000</f>
        <v>660559.9</v>
      </c>
      <c r="D202" s="47">
        <f t="shared" si="92"/>
        <v>633129.79999999993</v>
      </c>
      <c r="E202" s="47">
        <f t="shared" si="92"/>
        <v>586223</v>
      </c>
      <c r="F202" s="47">
        <f t="shared" si="92"/>
        <v>603732.79999999993</v>
      </c>
      <c r="G202" s="47">
        <f t="shared" si="92"/>
        <v>614827</v>
      </c>
      <c r="H202" s="47">
        <f t="shared" si="92"/>
        <v>611185.4</v>
      </c>
      <c r="I202" s="47">
        <f t="shared" si="92"/>
        <v>608205.20000000007</v>
      </c>
      <c r="J202" s="47">
        <f t="shared" si="92"/>
        <v>675079.5</v>
      </c>
      <c r="K202" s="47">
        <f t="shared" si="92"/>
        <v>660538.5</v>
      </c>
      <c r="L202" s="47">
        <f t="shared" si="92"/>
        <v>691555.60000000009</v>
      </c>
      <c r="M202" s="47">
        <f t="shared" si="92"/>
        <v>733053.6</v>
      </c>
      <c r="N202" s="47">
        <f t="shared" si="92"/>
        <v>797955</v>
      </c>
      <c r="O202" s="47">
        <f t="shared" si="92"/>
        <v>691419.39999999991</v>
      </c>
      <c r="P202" s="47">
        <f t="shared" ref="P202" si="93">P201*P105/1000</f>
        <v>700815.55602343555</v>
      </c>
      <c r="Q202" s="47">
        <f t="shared" ref="Q202:V202" si="94">Q201*Q147/1000</f>
        <v>0</v>
      </c>
      <c r="R202" s="47">
        <f t="shared" si="94"/>
        <v>0</v>
      </c>
      <c r="S202" s="47">
        <f t="shared" si="94"/>
        <v>0</v>
      </c>
      <c r="T202" s="47">
        <f t="shared" si="94"/>
        <v>0</v>
      </c>
      <c r="U202" s="47">
        <f t="shared" si="94"/>
        <v>0</v>
      </c>
      <c r="V202" s="47">
        <f t="shared" si="94"/>
        <v>0</v>
      </c>
      <c r="W202" s="47">
        <f>W201*W105/1000</f>
        <v>761100.7160335799</v>
      </c>
      <c r="X202" s="17">
        <f>X201*X105/1000</f>
        <v>799155.75183525891</v>
      </c>
      <c r="Y202" s="17"/>
      <c r="Z202" s="289"/>
    </row>
    <row r="203" spans="1:34" x14ac:dyDescent="0.3">
      <c r="A203" s="24"/>
      <c r="B203" s="206" t="s">
        <v>298</v>
      </c>
      <c r="C203" s="205">
        <f t="shared" ref="C203:O203" si="95">(C200-C202)/C199</f>
        <v>-896.66666666666674</v>
      </c>
      <c r="D203" s="181">
        <f t="shared" si="95"/>
        <v>-88.509719222462209</v>
      </c>
      <c r="E203" s="181">
        <f t="shared" si="95"/>
        <v>-744.17777777777781</v>
      </c>
      <c r="F203" s="181">
        <f t="shared" si="95"/>
        <v>-464.9789029535865</v>
      </c>
      <c r="G203" s="181">
        <f t="shared" si="95"/>
        <v>-1060.6813186813188</v>
      </c>
      <c r="H203" s="181">
        <f t="shared" si="95"/>
        <v>-432.12121212121207</v>
      </c>
      <c r="I203" s="181">
        <f t="shared" si="95"/>
        <v>-337.66055045871559</v>
      </c>
      <c r="J203" s="181">
        <f t="shared" si="95"/>
        <v>-1112.6143790849674</v>
      </c>
      <c r="K203" s="181">
        <f t="shared" si="95"/>
        <v>-1863.0823529411764</v>
      </c>
      <c r="L203" s="181">
        <f t="shared" si="95"/>
        <v>-1654.5734597156397</v>
      </c>
      <c r="M203" s="181">
        <f t="shared" si="95"/>
        <v>-2097.9156327543424</v>
      </c>
      <c r="N203" s="181">
        <f t="shared" si="95"/>
        <v>-2126.0599078341015</v>
      </c>
      <c r="O203" s="181">
        <f t="shared" si="95"/>
        <v>-1756.6588785046731</v>
      </c>
      <c r="P203" s="181">
        <f t="shared" ref="P203" si="96">(P200-P202)/P199</f>
        <v>-1767.9082583158854</v>
      </c>
      <c r="Q203" s="160"/>
      <c r="R203" s="160"/>
      <c r="S203" s="71"/>
      <c r="T203" s="181"/>
      <c r="U203" s="181"/>
      <c r="V203" s="160"/>
      <c r="W203" s="181">
        <f>(W200-W202)/W199</f>
        <v>-2864.4842363148123</v>
      </c>
      <c r="X203" s="206">
        <f>(X200-X202)/X199</f>
        <v>-3767.9751147972202</v>
      </c>
      <c r="Y203" s="286">
        <f>AVERAGE(L200:P200)/AVERAGE(L202:P202)</f>
        <v>0.89047791068454352</v>
      </c>
      <c r="Z203" s="290"/>
    </row>
    <row r="204" spans="1:34" x14ac:dyDescent="0.3">
      <c r="A204" s="171"/>
      <c r="B204" s="70" t="s">
        <v>392</v>
      </c>
      <c r="C204" s="418">
        <v>13797</v>
      </c>
      <c r="D204" s="244">
        <v>13291</v>
      </c>
      <c r="E204" s="244">
        <v>12736</v>
      </c>
      <c r="F204" s="244">
        <v>12114</v>
      </c>
      <c r="G204" s="244">
        <v>12102</v>
      </c>
      <c r="H204" s="244">
        <v>11896</v>
      </c>
      <c r="I204" s="244">
        <v>12061</v>
      </c>
      <c r="J204" s="244">
        <v>12053</v>
      </c>
      <c r="K204" s="244">
        <v>12107</v>
      </c>
      <c r="L204" s="244">
        <v>12122</v>
      </c>
      <c r="M204" s="244">
        <v>12084</v>
      </c>
      <c r="N204" s="244">
        <v>11882</v>
      </c>
      <c r="O204" s="244">
        <v>11359</v>
      </c>
      <c r="P204" s="244">
        <v>11121</v>
      </c>
      <c r="Q204" s="444"/>
      <c r="R204" s="444"/>
      <c r="S204" s="445"/>
      <c r="T204" s="244"/>
      <c r="U204" s="244"/>
      <c r="V204" s="444"/>
      <c r="W204" s="247">
        <f>AVERAGE(N204:P204)</f>
        <v>11454</v>
      </c>
      <c r="X204" s="438">
        <f>W204</f>
        <v>11454</v>
      </c>
      <c r="Y204" s="292"/>
      <c r="Z204" s="434"/>
    </row>
    <row r="205" spans="1:34" s="3" customFormat="1" x14ac:dyDescent="0.3">
      <c r="A205" s="16"/>
      <c r="B205" s="47" t="s">
        <v>139</v>
      </c>
      <c r="C205" s="58">
        <f t="shared" ref="C205:V205" si="97">C204*$F$80</f>
        <v>13797</v>
      </c>
      <c r="D205" s="53">
        <f t="shared" si="97"/>
        <v>13291</v>
      </c>
      <c r="E205" s="53">
        <f t="shared" si="97"/>
        <v>12736</v>
      </c>
      <c r="F205" s="53">
        <f t="shared" si="97"/>
        <v>12114</v>
      </c>
      <c r="G205" s="53">
        <f t="shared" si="97"/>
        <v>12102</v>
      </c>
      <c r="H205" s="53">
        <f t="shared" si="97"/>
        <v>11896</v>
      </c>
      <c r="I205" s="53">
        <f t="shared" si="97"/>
        <v>12061</v>
      </c>
      <c r="J205" s="53">
        <f t="shared" si="97"/>
        <v>12053</v>
      </c>
      <c r="K205" s="53">
        <f t="shared" si="97"/>
        <v>12107</v>
      </c>
      <c r="L205" s="53">
        <f t="shared" si="97"/>
        <v>12122</v>
      </c>
      <c r="M205" s="53">
        <f t="shared" si="97"/>
        <v>12084</v>
      </c>
      <c r="N205" s="53">
        <f t="shared" si="97"/>
        <v>11882</v>
      </c>
      <c r="O205" s="53">
        <f t="shared" si="97"/>
        <v>11359</v>
      </c>
      <c r="P205" s="53">
        <f t="shared" si="97"/>
        <v>11121</v>
      </c>
      <c r="Q205" s="53">
        <f t="shared" si="97"/>
        <v>0</v>
      </c>
      <c r="R205" s="53">
        <f t="shared" si="97"/>
        <v>0</v>
      </c>
      <c r="S205" s="53">
        <f t="shared" si="97"/>
        <v>0</v>
      </c>
      <c r="T205" s="53">
        <f t="shared" si="97"/>
        <v>0</v>
      </c>
      <c r="U205" s="53">
        <f t="shared" si="97"/>
        <v>0</v>
      </c>
      <c r="V205" s="53">
        <f t="shared" si="97"/>
        <v>0</v>
      </c>
      <c r="W205" s="47">
        <f>AVERAGE(N205:P205)</f>
        <v>11454</v>
      </c>
      <c r="X205" s="17">
        <f>W205</f>
        <v>11454</v>
      </c>
      <c r="Y205" s="13"/>
      <c r="Z205" s="91"/>
    </row>
    <row r="206" spans="1:34" s="4" customFormat="1" x14ac:dyDescent="0.3">
      <c r="A206" s="14"/>
      <c r="B206" s="48" t="s">
        <v>2</v>
      </c>
      <c r="C206" s="252">
        <v>10.4</v>
      </c>
      <c r="D206" s="240">
        <v>11.2</v>
      </c>
      <c r="E206" s="240">
        <v>13.7</v>
      </c>
      <c r="F206" s="240">
        <v>10.5</v>
      </c>
      <c r="G206" s="240">
        <v>14.3</v>
      </c>
      <c r="H206" s="240">
        <v>13.2</v>
      </c>
      <c r="I206" s="240">
        <v>9.3000000000000007</v>
      </c>
      <c r="J206" s="240">
        <v>13</v>
      </c>
      <c r="K206" s="240">
        <v>9.1999999999999993</v>
      </c>
      <c r="L206" s="240">
        <v>11.3</v>
      </c>
      <c r="M206" s="240">
        <v>7.1</v>
      </c>
      <c r="N206" s="240">
        <v>4.5999999999999996</v>
      </c>
      <c r="O206" s="240">
        <v>11.3</v>
      </c>
      <c r="P206" s="238">
        <v>11.5</v>
      </c>
      <c r="Q206" s="238"/>
      <c r="R206" s="238"/>
      <c r="S206" s="238"/>
      <c r="T206" s="240"/>
      <c r="U206" s="240"/>
      <c r="V206" s="238"/>
      <c r="W206" s="92">
        <f>AVERAGE(L206:P206)*(1+'Hypothèses production'!B7)</f>
        <v>9.16</v>
      </c>
      <c r="X206" s="208">
        <f>W206</f>
        <v>9.16</v>
      </c>
      <c r="Y206" s="15"/>
      <c r="Z206" s="288"/>
    </row>
    <row r="207" spans="1:34" s="3" customFormat="1" x14ac:dyDescent="0.3">
      <c r="A207" s="16" t="s">
        <v>24</v>
      </c>
      <c r="B207" s="47" t="s">
        <v>138</v>
      </c>
      <c r="C207" s="58">
        <f>C206*C205</f>
        <v>143488.80000000002</v>
      </c>
      <c r="D207" s="53">
        <f t="shared" ref="D207:O207" si="98">D206*D205</f>
        <v>148859.19999999998</v>
      </c>
      <c r="E207" s="53">
        <f t="shared" si="98"/>
        <v>174483.19999999998</v>
      </c>
      <c r="F207" s="53">
        <f t="shared" si="98"/>
        <v>127197</v>
      </c>
      <c r="G207" s="53">
        <f t="shared" si="98"/>
        <v>173058.6</v>
      </c>
      <c r="H207" s="53">
        <f t="shared" si="98"/>
        <v>157027.19999999998</v>
      </c>
      <c r="I207" s="53">
        <f t="shared" si="98"/>
        <v>112167.3</v>
      </c>
      <c r="J207" s="53">
        <f t="shared" si="98"/>
        <v>156689</v>
      </c>
      <c r="K207" s="53">
        <f t="shared" si="98"/>
        <v>111384.4</v>
      </c>
      <c r="L207" s="53">
        <f t="shared" si="98"/>
        <v>136978.6</v>
      </c>
      <c r="M207" s="53">
        <f t="shared" si="98"/>
        <v>85796.4</v>
      </c>
      <c r="N207" s="53">
        <f t="shared" si="98"/>
        <v>54657.2</v>
      </c>
      <c r="O207" s="53">
        <f t="shared" si="98"/>
        <v>128356.70000000001</v>
      </c>
      <c r="P207" s="53">
        <f t="shared" ref="P207" si="99">P206*P205</f>
        <v>127891.5</v>
      </c>
      <c r="Q207" s="53">
        <f t="shared" ref="Q207:V207" si="100">Q206*Q205</f>
        <v>0</v>
      </c>
      <c r="R207" s="53">
        <f t="shared" si="100"/>
        <v>0</v>
      </c>
      <c r="S207" s="53">
        <f t="shared" si="100"/>
        <v>0</v>
      </c>
      <c r="T207" s="53">
        <f t="shared" si="100"/>
        <v>0</v>
      </c>
      <c r="U207" s="53">
        <f t="shared" si="100"/>
        <v>0</v>
      </c>
      <c r="V207" s="53">
        <f t="shared" si="100"/>
        <v>0</v>
      </c>
      <c r="W207" s="53">
        <f t="shared" ref="W207:X207" si="101">W206*W205</f>
        <v>104918.64</v>
      </c>
      <c r="X207" s="17">
        <f t="shared" si="101"/>
        <v>104918.64</v>
      </c>
      <c r="Y207" s="17"/>
      <c r="Z207" s="246"/>
    </row>
    <row r="208" spans="1:34" s="8" customFormat="1" x14ac:dyDescent="0.3">
      <c r="A208" s="20"/>
      <c r="B208" s="49" t="s">
        <v>34</v>
      </c>
      <c r="C208" s="20">
        <f>'Calcul R84'!C17</f>
        <v>1.6987397561723463</v>
      </c>
      <c r="D208" s="49">
        <f>'Calcul R84'!D17</f>
        <v>1.7577706568399245</v>
      </c>
      <c r="E208" s="49">
        <f>'Calcul R84'!E17</f>
        <v>2.0688629764741591</v>
      </c>
      <c r="F208" s="49">
        <f>'Calcul R84'!F17</f>
        <v>1.5985936106335745</v>
      </c>
      <c r="G208" s="49">
        <f>'Calcul R84'!G17</f>
        <v>1.9423327540759616</v>
      </c>
      <c r="H208" s="49">
        <f>'Calcul R84'!H17</f>
        <v>1.9116583285927249</v>
      </c>
      <c r="I208" s="49">
        <f>'Calcul R84'!I17</f>
        <v>1.3676120998203285</v>
      </c>
      <c r="J208" s="49">
        <f>'Calcul R84'!J17</f>
        <v>1.8402010435381304</v>
      </c>
      <c r="K208" s="49">
        <f>'Calcul R84'!K17</f>
        <v>1.6299787133857813</v>
      </c>
      <c r="L208" s="49">
        <f>'Calcul R84'!L17</f>
        <v>2.0311085183215241</v>
      </c>
      <c r="M208" s="49">
        <f>'Calcul R84'!M17</f>
        <v>1.4645570555426535</v>
      </c>
      <c r="N208" s="49">
        <f>'Calcul R84'!N17</f>
        <v>0.90570196298728167</v>
      </c>
      <c r="O208" s="49">
        <f>'Calcul R84'!O17</f>
        <v>1.9072307951980221</v>
      </c>
      <c r="P208" s="49">
        <f>'Calcul R84'!P17</f>
        <v>1.8688269457982694</v>
      </c>
      <c r="Q208" s="49">
        <f>'Calcul R84'!Q17</f>
        <v>0</v>
      </c>
      <c r="R208" s="49">
        <f>'Calcul R84'!R17</f>
        <v>0</v>
      </c>
      <c r="S208" s="49">
        <f>'Calcul R84'!S17</f>
        <v>0</v>
      </c>
      <c r="T208" s="49">
        <f>'Calcul R84'!T17</f>
        <v>0</v>
      </c>
      <c r="U208" s="49">
        <f>'Calcul R84'!U17</f>
        <v>0</v>
      </c>
      <c r="V208" s="49">
        <f>'Calcul R84'!V17</f>
        <v>0</v>
      </c>
      <c r="W208" s="49">
        <f>'Calcul R84'!W17</f>
        <v>1.6</v>
      </c>
      <c r="X208" s="21">
        <f>'Calcul R84'!X17</f>
        <v>1.6800000000000002</v>
      </c>
      <c r="Y208" s="21"/>
      <c r="Z208" s="291"/>
    </row>
    <row r="209" spans="1:34" s="3" customFormat="1" x14ac:dyDescent="0.3">
      <c r="A209" s="16"/>
      <c r="B209" s="47" t="s">
        <v>297</v>
      </c>
      <c r="C209" s="16">
        <f t="shared" ref="C209:O209" si="102">C208*C105/1000</f>
        <v>106621.80000000002</v>
      </c>
      <c r="D209" s="47">
        <f t="shared" si="102"/>
        <v>110863.19999999998</v>
      </c>
      <c r="E209" s="47">
        <f t="shared" si="102"/>
        <v>131116.19999999998</v>
      </c>
      <c r="F209" s="47">
        <f t="shared" si="102"/>
        <v>101827</v>
      </c>
      <c r="G209" s="47">
        <f t="shared" si="102"/>
        <v>124363.6</v>
      </c>
      <c r="H209" s="47">
        <f t="shared" si="102"/>
        <v>122921.19999999998</v>
      </c>
      <c r="I209" s="47">
        <f t="shared" si="102"/>
        <v>88168.3</v>
      </c>
      <c r="J209" s="47">
        <f t="shared" si="102"/>
        <v>118949</v>
      </c>
      <c r="K209" s="47">
        <f t="shared" si="102"/>
        <v>105694.39999999999</v>
      </c>
      <c r="L209" s="47">
        <f t="shared" si="102"/>
        <v>132218.6</v>
      </c>
      <c r="M209" s="47">
        <f t="shared" si="102"/>
        <v>95590.399999999994</v>
      </c>
      <c r="N209" s="47">
        <f t="shared" si="102"/>
        <v>59328.2</v>
      </c>
      <c r="O209" s="47">
        <f t="shared" si="102"/>
        <v>125346.70000000001</v>
      </c>
      <c r="P209" s="47">
        <f t="shared" ref="P209" si="103">P208*P105/1000</f>
        <v>123204.21234444583</v>
      </c>
      <c r="Q209" s="47">
        <f t="shared" ref="Q209:V209" si="104">Q208*Q154/1000</f>
        <v>0</v>
      </c>
      <c r="R209" s="47">
        <f t="shared" si="104"/>
        <v>0</v>
      </c>
      <c r="S209" s="47">
        <f t="shared" si="104"/>
        <v>0</v>
      </c>
      <c r="T209" s="47">
        <f t="shared" si="104"/>
        <v>0</v>
      </c>
      <c r="U209" s="47">
        <f t="shared" si="104"/>
        <v>0</v>
      </c>
      <c r="V209" s="47">
        <f t="shared" si="104"/>
        <v>0</v>
      </c>
      <c r="W209" s="47">
        <f>W208*W105/1000</f>
        <v>106821.15312752</v>
      </c>
      <c r="X209" s="17">
        <f>X208*X105/1000</f>
        <v>112162.21078389599</v>
      </c>
      <c r="Y209" s="17"/>
      <c r="Z209" s="289"/>
    </row>
    <row r="210" spans="1:34" s="6" customFormat="1" x14ac:dyDescent="0.3">
      <c r="A210" s="205"/>
      <c r="B210" s="181" t="s">
        <v>298</v>
      </c>
      <c r="C210" s="205">
        <f t="shared" ref="C210:O210" si="105">(C207-C209)/C206</f>
        <v>3544.9038461538462</v>
      </c>
      <c r="D210" s="181">
        <f t="shared" si="105"/>
        <v>3392.5</v>
      </c>
      <c r="E210" s="181">
        <f t="shared" si="105"/>
        <v>3165.4744525547449</v>
      </c>
      <c r="F210" s="181">
        <f t="shared" si="105"/>
        <v>2416.1904761904761</v>
      </c>
      <c r="G210" s="181">
        <f t="shared" si="105"/>
        <v>3405.2447552447552</v>
      </c>
      <c r="H210" s="181">
        <f t="shared" si="105"/>
        <v>2583.787878787879</v>
      </c>
      <c r="I210" s="181">
        <f t="shared" si="105"/>
        <v>2580.5376344086021</v>
      </c>
      <c r="J210" s="181">
        <f t="shared" si="105"/>
        <v>2903.0769230769229</v>
      </c>
      <c r="K210" s="181">
        <f t="shared" si="105"/>
        <v>618.47826086956525</v>
      </c>
      <c r="L210" s="181">
        <f t="shared" si="105"/>
        <v>421.23893805309734</v>
      </c>
      <c r="M210" s="181">
        <f t="shared" si="105"/>
        <v>-1379.4366197183099</v>
      </c>
      <c r="N210" s="181">
        <f t="shared" si="105"/>
        <v>-1015.4347826086957</v>
      </c>
      <c r="O210" s="181">
        <f t="shared" si="105"/>
        <v>266.37168141592917</v>
      </c>
      <c r="P210" s="181">
        <f t="shared" ref="P210" si="106">(P207-P209)/P206</f>
        <v>407.59023091775418</v>
      </c>
      <c r="Q210" s="181"/>
      <c r="R210" s="181"/>
      <c r="S210" s="181"/>
      <c r="T210" s="181"/>
      <c r="U210" s="181"/>
      <c r="V210" s="181"/>
      <c r="W210" s="181">
        <f>(W207-W209)/W206</f>
        <v>-207.69793968558912</v>
      </c>
      <c r="X210" s="206">
        <f>(X207-X209)/X206</f>
        <v>-790.78283666986829</v>
      </c>
      <c r="Y210" s="286">
        <f>AVERAGE(L207:P207)/AVERAGE(L209:P209)</f>
        <v>0.99625208717875202</v>
      </c>
      <c r="Z210" s="290"/>
    </row>
    <row r="211" spans="1:34" s="6" customFormat="1" x14ac:dyDescent="0.3">
      <c r="A211" s="144"/>
      <c r="B211" s="70" t="s">
        <v>392</v>
      </c>
      <c r="C211" s="439">
        <v>12798</v>
      </c>
      <c r="D211" s="204">
        <v>12351</v>
      </c>
      <c r="E211" s="204">
        <v>11932</v>
      </c>
      <c r="F211" s="204">
        <v>11554</v>
      </c>
      <c r="G211" s="204">
        <v>11577</v>
      </c>
      <c r="H211" s="204">
        <v>11336</v>
      </c>
      <c r="I211" s="204">
        <v>11266</v>
      </c>
      <c r="J211" s="204">
        <v>11273</v>
      </c>
      <c r="K211" s="204">
        <v>11246</v>
      </c>
      <c r="L211" s="204">
        <v>11345</v>
      </c>
      <c r="M211" s="204">
        <v>11525</v>
      </c>
      <c r="N211" s="204">
        <v>11497</v>
      </c>
      <c r="O211" s="204">
        <v>11433</v>
      </c>
      <c r="P211" s="204">
        <v>11200</v>
      </c>
      <c r="Q211" s="244"/>
      <c r="R211" s="244"/>
      <c r="S211" s="244"/>
      <c r="T211" s="244"/>
      <c r="U211" s="244"/>
      <c r="V211" s="244"/>
      <c r="W211" s="247">
        <f>AVERAGE(N211:P211)</f>
        <v>11376.666666666666</v>
      </c>
      <c r="X211" s="438">
        <f>W211</f>
        <v>11376.666666666666</v>
      </c>
      <c r="Y211" s="292"/>
      <c r="Z211" s="434"/>
    </row>
    <row r="212" spans="1:34" s="3" customFormat="1" x14ac:dyDescent="0.3">
      <c r="A212" s="16"/>
      <c r="B212" s="47" t="s">
        <v>139</v>
      </c>
      <c r="C212" s="58">
        <f t="shared" ref="C212:V212" si="107">C211*$F$80</f>
        <v>12798</v>
      </c>
      <c r="D212" s="53">
        <f t="shared" si="107"/>
        <v>12351</v>
      </c>
      <c r="E212" s="53">
        <f t="shared" si="107"/>
        <v>11932</v>
      </c>
      <c r="F212" s="53">
        <f t="shared" si="107"/>
        <v>11554</v>
      </c>
      <c r="G212" s="53">
        <f t="shared" si="107"/>
        <v>11577</v>
      </c>
      <c r="H212" s="53">
        <f t="shared" si="107"/>
        <v>11336</v>
      </c>
      <c r="I212" s="53">
        <f t="shared" si="107"/>
        <v>11266</v>
      </c>
      <c r="J212" s="53">
        <f t="shared" si="107"/>
        <v>11273</v>
      </c>
      <c r="K212" s="53">
        <f t="shared" si="107"/>
        <v>11246</v>
      </c>
      <c r="L212" s="53">
        <f t="shared" si="107"/>
        <v>11345</v>
      </c>
      <c r="M212" s="53">
        <f t="shared" si="107"/>
        <v>11525</v>
      </c>
      <c r="N212" s="53">
        <f t="shared" si="107"/>
        <v>11497</v>
      </c>
      <c r="O212" s="53">
        <f t="shared" si="107"/>
        <v>11433</v>
      </c>
      <c r="P212" s="53">
        <f t="shared" si="107"/>
        <v>11200</v>
      </c>
      <c r="Q212" s="53">
        <f t="shared" si="107"/>
        <v>0</v>
      </c>
      <c r="R212" s="53">
        <f t="shared" si="107"/>
        <v>0</v>
      </c>
      <c r="S212" s="53">
        <f t="shared" si="107"/>
        <v>0</v>
      </c>
      <c r="T212" s="53">
        <f t="shared" si="107"/>
        <v>0</v>
      </c>
      <c r="U212" s="53">
        <f t="shared" si="107"/>
        <v>0</v>
      </c>
      <c r="V212" s="53">
        <f t="shared" si="107"/>
        <v>0</v>
      </c>
      <c r="W212" s="47">
        <f>AVERAGE(N212:P212)</f>
        <v>11376.666666666666</v>
      </c>
      <c r="X212" s="17">
        <f>W212</f>
        <v>11376.666666666666</v>
      </c>
      <c r="Y212" s="13"/>
      <c r="Z212" s="91"/>
    </row>
    <row r="213" spans="1:34" s="4" customFormat="1" x14ac:dyDescent="0.3">
      <c r="A213" s="14" t="s">
        <v>28</v>
      </c>
      <c r="B213" s="48" t="s">
        <v>2</v>
      </c>
      <c r="C213" s="252">
        <v>23.5</v>
      </c>
      <c r="D213" s="240">
        <v>23.3</v>
      </c>
      <c r="E213" s="240">
        <v>23</v>
      </c>
      <c r="F213" s="240">
        <v>21.2</v>
      </c>
      <c r="G213" s="240">
        <v>22.8</v>
      </c>
      <c r="H213" s="240">
        <v>22.5</v>
      </c>
      <c r="I213" s="240">
        <v>22.4</v>
      </c>
      <c r="J213" s="240">
        <v>24.3</v>
      </c>
      <c r="K213" s="240">
        <v>20.7</v>
      </c>
      <c r="L213" s="240">
        <v>22.8</v>
      </c>
      <c r="M213" s="240">
        <v>20.2</v>
      </c>
      <c r="N213" s="240">
        <v>15</v>
      </c>
      <c r="O213" s="240">
        <v>20.2</v>
      </c>
      <c r="P213" s="238">
        <v>19.899999999999999</v>
      </c>
      <c r="Q213" s="238"/>
      <c r="R213" s="238"/>
      <c r="S213" s="238"/>
      <c r="T213" s="240"/>
      <c r="U213" s="240"/>
      <c r="V213" s="238"/>
      <c r="W213" s="92">
        <f>AVERAGE(L213:P213)*(1+'Hypothèses production'!B7)</f>
        <v>19.619999999999997</v>
      </c>
      <c r="X213" s="208">
        <f>W213</f>
        <v>19.619999999999997</v>
      </c>
      <c r="Y213" s="15"/>
      <c r="Z213" s="288"/>
    </row>
    <row r="214" spans="1:34" s="3" customFormat="1" x14ac:dyDescent="0.3">
      <c r="A214" s="16" t="s">
        <v>8</v>
      </c>
      <c r="B214" s="47" t="s">
        <v>138</v>
      </c>
      <c r="C214" s="58">
        <f>C213*C212</f>
        <v>300753</v>
      </c>
      <c r="D214" s="53">
        <f t="shared" ref="D214" si="108">D213*D212</f>
        <v>287778.3</v>
      </c>
      <c r="E214" s="53">
        <f t="shared" ref="E214" si="109">E213*E212</f>
        <v>274436</v>
      </c>
      <c r="F214" s="53">
        <f t="shared" ref="F214" si="110">F213*F212</f>
        <v>244944.8</v>
      </c>
      <c r="G214" s="53">
        <f t="shared" ref="G214" si="111">G213*G212</f>
        <v>263955.60000000003</v>
      </c>
      <c r="H214" s="53">
        <f t="shared" ref="H214" si="112">H213*H212</f>
        <v>255060</v>
      </c>
      <c r="I214" s="53">
        <f t="shared" ref="I214" si="113">I213*I212</f>
        <v>252358.39999999999</v>
      </c>
      <c r="J214" s="53">
        <f t="shared" ref="J214" si="114">J213*J212</f>
        <v>273933.90000000002</v>
      </c>
      <c r="K214" s="53">
        <f t="shared" ref="K214" si="115">K213*K212</f>
        <v>232792.19999999998</v>
      </c>
      <c r="L214" s="53">
        <f t="shared" ref="L214" si="116">L213*L212</f>
        <v>258666</v>
      </c>
      <c r="M214" s="53">
        <f t="shared" ref="M214" si="117">M213*M212</f>
        <v>232805</v>
      </c>
      <c r="N214" s="53">
        <f t="shared" ref="N214" si="118">N213*N212</f>
        <v>172455</v>
      </c>
      <c r="O214" s="53">
        <f t="shared" ref="O214:P214" si="119">O213*O212</f>
        <v>230946.6</v>
      </c>
      <c r="P214" s="53">
        <f t="shared" si="119"/>
        <v>222879.99999999997</v>
      </c>
      <c r="Q214" s="53">
        <f t="shared" ref="Q214:V214" si="120">Q213*Q212</f>
        <v>0</v>
      </c>
      <c r="R214" s="53">
        <f t="shared" si="120"/>
        <v>0</v>
      </c>
      <c r="S214" s="53">
        <f t="shared" si="120"/>
        <v>0</v>
      </c>
      <c r="T214" s="53">
        <f t="shared" si="120"/>
        <v>0</v>
      </c>
      <c r="U214" s="53">
        <f t="shared" si="120"/>
        <v>0</v>
      </c>
      <c r="V214" s="53">
        <f t="shared" si="120"/>
        <v>0</v>
      </c>
      <c r="W214" s="47">
        <f t="shared" ref="W214:X214" si="121">W213*W212</f>
        <v>223210.19999999995</v>
      </c>
      <c r="X214" s="17">
        <f t="shared" si="121"/>
        <v>223210.19999999995</v>
      </c>
      <c r="Y214" s="17"/>
      <c r="Z214" s="246"/>
    </row>
    <row r="215" spans="1:34" s="8" customFormat="1" x14ac:dyDescent="0.3">
      <c r="A215" s="20" t="s">
        <v>29</v>
      </c>
      <c r="B215" s="48" t="s">
        <v>296</v>
      </c>
      <c r="C215" s="20">
        <f>'Calcul R84'!C18</f>
        <v>6.1</v>
      </c>
      <c r="D215" s="49">
        <f>'Calcul R84'!D18</f>
        <v>5.6</v>
      </c>
      <c r="E215" s="49">
        <f>'Calcul R84'!E18</f>
        <v>5.3</v>
      </c>
      <c r="F215" s="49">
        <f>'Calcul R84'!F18</f>
        <v>5.0999999999999996</v>
      </c>
      <c r="G215" s="49">
        <f>'Calcul R84'!G18</f>
        <v>5</v>
      </c>
      <c r="H215" s="49">
        <f>'Calcul R84'!H18</f>
        <v>5.0999999999999996</v>
      </c>
      <c r="I215" s="49">
        <f>'Calcul R84'!I18</f>
        <v>5</v>
      </c>
      <c r="J215" s="49">
        <f>'Calcul R84'!J18</f>
        <v>5.2</v>
      </c>
      <c r="K215" s="49">
        <f>'Calcul R84'!K18</f>
        <v>4.7</v>
      </c>
      <c r="L215" s="49">
        <f>'Calcul R84'!L18</f>
        <v>4.9000000000000004</v>
      </c>
      <c r="M215" s="49">
        <f>'Calcul R84'!M18</f>
        <v>4.2</v>
      </c>
      <c r="N215" s="49">
        <f>'Calcul R84'!N18</f>
        <v>4.2</v>
      </c>
      <c r="O215" s="49">
        <f>'Calcul R84'!O18</f>
        <v>4.0999999999999996</v>
      </c>
      <c r="P215" s="49">
        <f>'Calcul R84'!P18</f>
        <v>4.1124999999999998</v>
      </c>
      <c r="Q215" s="49">
        <f>'Calcul R84'!Q18</f>
        <v>0</v>
      </c>
      <c r="R215" s="49">
        <f>'Calcul R84'!R18</f>
        <v>0</v>
      </c>
      <c r="S215" s="49">
        <f>'Calcul R84'!S18</f>
        <v>0</v>
      </c>
      <c r="T215" s="49">
        <f>'Calcul R84'!T18</f>
        <v>0</v>
      </c>
      <c r="U215" s="49">
        <f>'Calcul R84'!U18</f>
        <v>0</v>
      </c>
      <c r="V215" s="49">
        <f>'Calcul R84'!V18</f>
        <v>0</v>
      </c>
      <c r="W215" s="49">
        <f>'Calcul R84'!W18</f>
        <v>4.2</v>
      </c>
      <c r="X215" s="21">
        <f>'Calcul R84'!X18</f>
        <v>4.41</v>
      </c>
      <c r="Y215" s="21"/>
      <c r="Z215" s="291"/>
      <c r="AA215" s="6"/>
      <c r="AB215" s="6"/>
      <c r="AC215" s="6"/>
      <c r="AD215" s="6"/>
      <c r="AE215" s="6"/>
      <c r="AF215" s="6"/>
      <c r="AG215" s="6"/>
      <c r="AH215" s="6"/>
    </row>
    <row r="216" spans="1:34" s="3" customFormat="1" x14ac:dyDescent="0.3">
      <c r="A216" s="16"/>
      <c r="B216" s="47" t="s">
        <v>297</v>
      </c>
      <c r="C216" s="16">
        <f t="shared" ref="C216:O216" si="122">C215*C105/1000</f>
        <v>382867.93349999998</v>
      </c>
      <c r="D216" s="47">
        <f t="shared" si="122"/>
        <v>353193.9264</v>
      </c>
      <c r="E216" s="47">
        <f t="shared" si="122"/>
        <v>335892.64630000002</v>
      </c>
      <c r="F216" s="47">
        <f t="shared" si="122"/>
        <v>324859.1115</v>
      </c>
      <c r="G216" s="47">
        <f t="shared" si="122"/>
        <v>320139.78999999998</v>
      </c>
      <c r="H216" s="47">
        <f t="shared" si="122"/>
        <v>327934.18709999998</v>
      </c>
      <c r="I216" s="47">
        <f t="shared" si="122"/>
        <v>322343.96000000002</v>
      </c>
      <c r="J216" s="47">
        <f t="shared" si="122"/>
        <v>336123.49160000001</v>
      </c>
      <c r="K216" s="47">
        <f t="shared" si="122"/>
        <v>304766.97390000004</v>
      </c>
      <c r="L216" s="47">
        <f t="shared" si="122"/>
        <v>318974.16320000007</v>
      </c>
      <c r="M216" s="47">
        <f t="shared" si="122"/>
        <v>274130.44680000003</v>
      </c>
      <c r="N216" s="47">
        <f t="shared" si="122"/>
        <v>275121.8946</v>
      </c>
      <c r="O216" s="47">
        <f t="shared" si="122"/>
        <v>269459.50709999999</v>
      </c>
      <c r="P216" s="47">
        <f t="shared" ref="P216" si="123">P215*P105/1000</f>
        <v>271120.51461250003</v>
      </c>
      <c r="Q216" s="47">
        <f t="shared" ref="Q216:V216" si="124">Q215*Q161/1000</f>
        <v>0</v>
      </c>
      <c r="R216" s="47">
        <f t="shared" si="124"/>
        <v>0</v>
      </c>
      <c r="S216" s="47">
        <f t="shared" si="124"/>
        <v>0</v>
      </c>
      <c r="T216" s="47">
        <f t="shared" si="124"/>
        <v>0</v>
      </c>
      <c r="U216" s="47">
        <f t="shared" si="124"/>
        <v>0</v>
      </c>
      <c r="V216" s="47">
        <f t="shared" si="124"/>
        <v>0</v>
      </c>
      <c r="W216" s="47">
        <f>W215*W105/1000</f>
        <v>280405.52695973997</v>
      </c>
      <c r="X216" s="17">
        <f>X215*X105/1000</f>
        <v>294425.80330772698</v>
      </c>
      <c r="Y216" s="17"/>
      <c r="Z216" s="289"/>
    </row>
    <row r="217" spans="1:34" s="6" customFormat="1" x14ac:dyDescent="0.3">
      <c r="A217" s="205"/>
      <c r="B217" s="181" t="s">
        <v>298</v>
      </c>
      <c r="C217" s="205">
        <f t="shared" ref="C217:O217" si="125">(C214-C216)/C213</f>
        <v>-3494.2524893617015</v>
      </c>
      <c r="D217" s="181">
        <f t="shared" si="125"/>
        <v>-2807.5376137339058</v>
      </c>
      <c r="E217" s="181">
        <f t="shared" si="125"/>
        <v>-2672.0281000000009</v>
      </c>
      <c r="F217" s="181">
        <f t="shared" si="125"/>
        <v>-3769.5429952830195</v>
      </c>
      <c r="G217" s="181">
        <f t="shared" si="125"/>
        <v>-2464.2188596491201</v>
      </c>
      <c r="H217" s="181">
        <f t="shared" si="125"/>
        <v>-3238.8527599999993</v>
      </c>
      <c r="I217" s="181">
        <f t="shared" si="125"/>
        <v>-3124.3553571428583</v>
      </c>
      <c r="J217" s="181">
        <f t="shared" si="125"/>
        <v>-2559.2424526748964</v>
      </c>
      <c r="K217" s="181">
        <f t="shared" si="125"/>
        <v>-3477.0422173913071</v>
      </c>
      <c r="L217" s="181">
        <f t="shared" si="125"/>
        <v>-2645.0948771929852</v>
      </c>
      <c r="M217" s="181">
        <f t="shared" si="125"/>
        <v>-2045.8141980198038</v>
      </c>
      <c r="N217" s="181">
        <f t="shared" si="125"/>
        <v>-6844.45964</v>
      </c>
      <c r="O217" s="181">
        <f t="shared" si="125"/>
        <v>-1906.5795594059398</v>
      </c>
      <c r="P217" s="181">
        <f t="shared" ref="P217" si="126">(P214-P216)/P213</f>
        <v>-2424.1464629397019</v>
      </c>
      <c r="Q217" s="181"/>
      <c r="R217" s="181"/>
      <c r="S217" s="181"/>
      <c r="T217" s="181"/>
      <c r="U217" s="181"/>
      <c r="V217" s="181"/>
      <c r="W217" s="181">
        <f>(W214-W216)/W213</f>
        <v>-2915.1542792935793</v>
      </c>
      <c r="X217" s="206">
        <f>(X214-X216)/X213</f>
        <v>-3629.7453265915919</v>
      </c>
      <c r="Y217" s="286">
        <f>AVERAGE(L214:P214)/AVERAGE(L216:P216)</f>
        <v>0.79340390545015183</v>
      </c>
      <c r="Z217" s="290"/>
      <c r="AA217" s="4"/>
      <c r="AB217" s="4"/>
      <c r="AC217" s="4"/>
      <c r="AD217" s="4"/>
      <c r="AE217" s="4"/>
      <c r="AF217" s="4"/>
      <c r="AG217" s="4"/>
      <c r="AH217" s="4"/>
    </row>
    <row r="218" spans="1:34" s="6" customFormat="1" x14ac:dyDescent="0.3">
      <c r="A218" s="144"/>
      <c r="B218" s="70" t="s">
        <v>392</v>
      </c>
      <c r="C218" s="418">
        <v>40907</v>
      </c>
      <c r="D218" s="244">
        <v>40089</v>
      </c>
      <c r="E218" s="244">
        <v>39416</v>
      </c>
      <c r="F218" s="244">
        <v>38637</v>
      </c>
      <c r="G218" s="244">
        <v>38237</v>
      </c>
      <c r="H218" s="244">
        <v>37908</v>
      </c>
      <c r="I218" s="244">
        <v>38600</v>
      </c>
      <c r="J218" s="244">
        <v>39115</v>
      </c>
      <c r="K218" s="244">
        <v>39578</v>
      </c>
      <c r="L218" s="244">
        <v>39923</v>
      </c>
      <c r="M218" s="244">
        <v>40111</v>
      </c>
      <c r="N218" s="244">
        <v>39617</v>
      </c>
      <c r="O218" s="244">
        <v>39445</v>
      </c>
      <c r="P218" s="244">
        <v>39450</v>
      </c>
      <c r="Q218" s="244"/>
      <c r="R218" s="244"/>
      <c r="S218" s="244"/>
      <c r="T218" s="244"/>
      <c r="U218" s="244"/>
      <c r="V218" s="244"/>
      <c r="W218" s="247">
        <f>AVERAGE(N218:P218)</f>
        <v>39504</v>
      </c>
      <c r="X218" s="438">
        <f>W218</f>
        <v>39504</v>
      </c>
      <c r="Y218" s="292"/>
      <c r="Z218" s="434"/>
      <c r="AA218" s="4"/>
      <c r="AB218" s="4"/>
      <c r="AC218" s="4"/>
      <c r="AD218" s="4"/>
      <c r="AE218" s="4"/>
      <c r="AF218" s="4"/>
      <c r="AG218" s="4"/>
      <c r="AH218" s="4"/>
    </row>
    <row r="219" spans="1:34" s="3" customFormat="1" x14ac:dyDescent="0.3">
      <c r="A219" s="16"/>
      <c r="B219" s="47" t="s">
        <v>139</v>
      </c>
      <c r="C219" s="58">
        <f t="shared" ref="C219:V219" si="127">C218*$F$80</f>
        <v>40907</v>
      </c>
      <c r="D219" s="53">
        <f t="shared" si="127"/>
        <v>40089</v>
      </c>
      <c r="E219" s="53">
        <f t="shared" si="127"/>
        <v>39416</v>
      </c>
      <c r="F219" s="53">
        <f t="shared" si="127"/>
        <v>38637</v>
      </c>
      <c r="G219" s="53">
        <f t="shared" si="127"/>
        <v>38237</v>
      </c>
      <c r="H219" s="53">
        <f t="shared" si="127"/>
        <v>37908</v>
      </c>
      <c r="I219" s="53">
        <f t="shared" si="127"/>
        <v>38600</v>
      </c>
      <c r="J219" s="53">
        <f t="shared" si="127"/>
        <v>39115</v>
      </c>
      <c r="K219" s="53">
        <f t="shared" si="127"/>
        <v>39578</v>
      </c>
      <c r="L219" s="53">
        <f t="shared" si="127"/>
        <v>39923</v>
      </c>
      <c r="M219" s="53">
        <f t="shared" si="127"/>
        <v>40111</v>
      </c>
      <c r="N219" s="53">
        <f t="shared" si="127"/>
        <v>39617</v>
      </c>
      <c r="O219" s="53">
        <f t="shared" si="127"/>
        <v>39445</v>
      </c>
      <c r="P219" s="53">
        <f t="shared" si="127"/>
        <v>39450</v>
      </c>
      <c r="Q219" s="53">
        <f t="shared" si="127"/>
        <v>0</v>
      </c>
      <c r="R219" s="53">
        <f t="shared" si="127"/>
        <v>0</v>
      </c>
      <c r="S219" s="53">
        <f t="shared" si="127"/>
        <v>0</v>
      </c>
      <c r="T219" s="53">
        <f t="shared" si="127"/>
        <v>0</v>
      </c>
      <c r="U219" s="53">
        <f t="shared" si="127"/>
        <v>0</v>
      </c>
      <c r="V219" s="53">
        <f t="shared" si="127"/>
        <v>0</v>
      </c>
      <c r="W219" s="47">
        <f>AVERAGE(N219:P219)</f>
        <v>39504</v>
      </c>
      <c r="X219" s="17">
        <f>W219</f>
        <v>39504</v>
      </c>
      <c r="Y219" s="13"/>
      <c r="Z219" s="91"/>
    </row>
    <row r="220" spans="1:34" s="4" customFormat="1" x14ac:dyDescent="0.3">
      <c r="A220" s="14"/>
      <c r="B220" s="48" t="s">
        <v>2</v>
      </c>
      <c r="C220" s="252">
        <v>43.3</v>
      </c>
      <c r="D220" s="240">
        <v>44.7</v>
      </c>
      <c r="E220" s="240">
        <v>34</v>
      </c>
      <c r="F220" s="240">
        <v>45</v>
      </c>
      <c r="G220" s="240">
        <v>41.4</v>
      </c>
      <c r="H220" s="240">
        <v>43.9</v>
      </c>
      <c r="I220" s="240">
        <v>40.9</v>
      </c>
      <c r="J220" s="240">
        <v>38.9</v>
      </c>
      <c r="K220" s="240">
        <v>38.799999999999997</v>
      </c>
      <c r="L220" s="240">
        <v>40.700000000000003</v>
      </c>
      <c r="M220" s="240">
        <v>35.4</v>
      </c>
      <c r="N220" s="240">
        <v>33.299999999999997</v>
      </c>
      <c r="O220" s="240">
        <v>36.700000000000003</v>
      </c>
      <c r="P220" s="238">
        <v>40.200000000000003</v>
      </c>
      <c r="Q220" s="238"/>
      <c r="R220" s="238"/>
      <c r="S220" s="238"/>
      <c r="T220" s="240"/>
      <c r="U220" s="240"/>
      <c r="V220" s="238"/>
      <c r="W220" s="92">
        <f>AVERAGE(L220:P220)*(1+'Hypothèses production'!B7)</f>
        <v>37.260000000000005</v>
      </c>
      <c r="X220" s="208">
        <f>W220</f>
        <v>37.260000000000005</v>
      </c>
      <c r="Y220" s="15"/>
      <c r="Z220" s="288"/>
    </row>
    <row r="221" spans="1:34" s="3" customFormat="1" x14ac:dyDescent="0.3">
      <c r="A221" s="16" t="s">
        <v>7</v>
      </c>
      <c r="B221" s="47" t="s">
        <v>138</v>
      </c>
      <c r="C221" s="58">
        <f>C220*C219</f>
        <v>1771273.0999999999</v>
      </c>
      <c r="D221" s="53">
        <f t="shared" ref="D221" si="128">D220*D219</f>
        <v>1791978.3</v>
      </c>
      <c r="E221" s="53">
        <f t="shared" ref="E221" si="129">E220*E219</f>
        <v>1340144</v>
      </c>
      <c r="F221" s="53">
        <f t="shared" ref="F221" si="130">F220*F219</f>
        <v>1738665</v>
      </c>
      <c r="G221" s="53">
        <f t="shared" ref="G221" si="131">G220*G219</f>
        <v>1583011.8</v>
      </c>
      <c r="H221" s="53">
        <f t="shared" ref="H221" si="132">H220*H219</f>
        <v>1664161.2</v>
      </c>
      <c r="I221" s="53">
        <f t="shared" ref="I221" si="133">I220*I219</f>
        <v>1578740</v>
      </c>
      <c r="J221" s="53">
        <f t="shared" ref="J221" si="134">J220*J219</f>
        <v>1521573.5</v>
      </c>
      <c r="K221" s="53">
        <f t="shared" ref="K221" si="135">K220*K219</f>
        <v>1535626.4</v>
      </c>
      <c r="L221" s="53">
        <f t="shared" ref="L221" si="136">L220*L219</f>
        <v>1624866.1</v>
      </c>
      <c r="M221" s="53">
        <f t="shared" ref="M221" si="137">M220*M219</f>
        <v>1419929.4</v>
      </c>
      <c r="N221" s="53">
        <f t="shared" ref="N221" si="138">N220*N219</f>
        <v>1319246.0999999999</v>
      </c>
      <c r="O221" s="53">
        <f t="shared" ref="O221:P221" si="139">O220*O219</f>
        <v>1447631.5</v>
      </c>
      <c r="P221" s="53">
        <f t="shared" si="139"/>
        <v>1585890</v>
      </c>
      <c r="Q221" s="53">
        <f t="shared" ref="Q221:V221" si="140">Q220*Q219</f>
        <v>0</v>
      </c>
      <c r="R221" s="53">
        <f t="shared" si="140"/>
        <v>0</v>
      </c>
      <c r="S221" s="53">
        <f t="shared" si="140"/>
        <v>0</v>
      </c>
      <c r="T221" s="53">
        <f t="shared" si="140"/>
        <v>0</v>
      </c>
      <c r="U221" s="53">
        <f t="shared" si="140"/>
        <v>0</v>
      </c>
      <c r="V221" s="53">
        <f t="shared" si="140"/>
        <v>0</v>
      </c>
      <c r="W221" s="47">
        <f t="shared" ref="W221:X221" si="141">W220*W219</f>
        <v>1471919.0400000003</v>
      </c>
      <c r="X221" s="17">
        <f t="shared" si="141"/>
        <v>1471919.0400000003</v>
      </c>
      <c r="Y221" s="17"/>
      <c r="Z221" s="246"/>
    </row>
    <row r="222" spans="1:34" s="4" customFormat="1" x14ac:dyDescent="0.3">
      <c r="A222" s="14"/>
      <c r="B222" s="48" t="s">
        <v>296</v>
      </c>
      <c r="C222" s="14">
        <f>'Calcul R84'!C19</f>
        <v>22</v>
      </c>
      <c r="D222" s="48">
        <f>'Calcul R84'!D19</f>
        <v>22.1</v>
      </c>
      <c r="E222" s="48">
        <f>'Calcul R84'!E19</f>
        <v>21.6</v>
      </c>
      <c r="F222" s="48">
        <f>'Calcul R84'!F19</f>
        <v>21.7</v>
      </c>
      <c r="G222" s="48">
        <f>'Calcul R84'!G19</f>
        <v>21.1</v>
      </c>
      <c r="H222" s="48">
        <f>'Calcul R84'!H19</f>
        <v>23.1</v>
      </c>
      <c r="I222" s="48">
        <f>'Calcul R84'!I19</f>
        <v>25.7</v>
      </c>
      <c r="J222" s="48">
        <f>'Calcul R84'!J19</f>
        <v>23.8</v>
      </c>
      <c r="K222" s="48">
        <f>'Calcul R84'!K19</f>
        <v>24.5</v>
      </c>
      <c r="L222" s="48">
        <f>'Calcul R84'!L19</f>
        <v>23.1</v>
      </c>
      <c r="M222" s="48">
        <f>'Calcul R84'!M19</f>
        <v>23.7</v>
      </c>
      <c r="N222" s="48">
        <f>'Calcul R84'!N19</f>
        <v>21.4</v>
      </c>
      <c r="O222" s="48">
        <f>'Calcul R84'!O19</f>
        <v>22.5</v>
      </c>
      <c r="P222" s="48">
        <f>'Calcul R84'!P19</f>
        <v>22.5625</v>
      </c>
      <c r="Q222" s="48">
        <f>'Calcul R84'!Q19</f>
        <v>0</v>
      </c>
      <c r="R222" s="48">
        <f>'Calcul R84'!R19</f>
        <v>0</v>
      </c>
      <c r="S222" s="48">
        <f>'Calcul R84'!S19</f>
        <v>0</v>
      </c>
      <c r="T222" s="48">
        <f>'Calcul R84'!T19</f>
        <v>0</v>
      </c>
      <c r="U222" s="48">
        <f>'Calcul R84'!U19</f>
        <v>0</v>
      </c>
      <c r="V222" s="48">
        <f>'Calcul R84'!V19</f>
        <v>0</v>
      </c>
      <c r="W222" s="48">
        <f>'Calcul R84'!W19</f>
        <v>23</v>
      </c>
      <c r="X222" s="15">
        <f>'Calcul R84'!X19</f>
        <v>24.150000000000002</v>
      </c>
      <c r="Y222" s="15"/>
      <c r="Z222" s="288"/>
      <c r="AA222" s="6"/>
      <c r="AB222" s="6"/>
      <c r="AC222" s="6"/>
      <c r="AD222" s="6"/>
      <c r="AE222" s="6"/>
      <c r="AF222" s="6"/>
      <c r="AG222" s="6"/>
      <c r="AH222" s="6"/>
    </row>
    <row r="223" spans="1:34" s="3" customFormat="1" x14ac:dyDescent="0.3">
      <c r="A223" s="16"/>
      <c r="B223" s="47" t="s">
        <v>297</v>
      </c>
      <c r="C223" s="16">
        <f t="shared" ref="C223:O223" si="142">C222*C105/1000</f>
        <v>1380835.17</v>
      </c>
      <c r="D223" s="47">
        <f t="shared" si="142"/>
        <v>1393854.6024000002</v>
      </c>
      <c r="E223" s="47">
        <f t="shared" si="142"/>
        <v>1368920.9736000001</v>
      </c>
      <c r="F223" s="47">
        <f t="shared" si="142"/>
        <v>1382243.6705</v>
      </c>
      <c r="G223" s="47">
        <f t="shared" si="142"/>
        <v>1350989.9138000002</v>
      </c>
      <c r="H223" s="47">
        <f t="shared" si="142"/>
        <v>1485348.9651000001</v>
      </c>
      <c r="I223" s="47">
        <f t="shared" si="142"/>
        <v>1656847.9543999999</v>
      </c>
      <c r="J223" s="47">
        <f t="shared" si="142"/>
        <v>1538411.3654</v>
      </c>
      <c r="K223" s="47">
        <f t="shared" si="142"/>
        <v>1588678.9065</v>
      </c>
      <c r="L223" s="47">
        <f t="shared" si="142"/>
        <v>1503735.3408000001</v>
      </c>
      <c r="M223" s="47">
        <f t="shared" si="142"/>
        <v>1546878.9498000001</v>
      </c>
      <c r="N223" s="47">
        <f t="shared" si="142"/>
        <v>1401811.5581999999</v>
      </c>
      <c r="O223" s="47">
        <f t="shared" si="142"/>
        <v>1478741.1975</v>
      </c>
      <c r="P223" s="47">
        <f t="shared" ref="P223" si="143">P222*P105/1000</f>
        <v>1487454.4950625</v>
      </c>
      <c r="Q223" s="47">
        <f t="shared" ref="Q223:V223" si="144">Q222*Q168/1000</f>
        <v>0</v>
      </c>
      <c r="R223" s="47">
        <f t="shared" si="144"/>
        <v>0</v>
      </c>
      <c r="S223" s="47">
        <f t="shared" si="144"/>
        <v>0</v>
      </c>
      <c r="T223" s="47">
        <f t="shared" si="144"/>
        <v>0</v>
      </c>
      <c r="U223" s="47">
        <f t="shared" si="144"/>
        <v>0</v>
      </c>
      <c r="V223" s="47">
        <f t="shared" si="144"/>
        <v>0</v>
      </c>
      <c r="W223" s="47">
        <f>W222*W105/1000</f>
        <v>1535554.0762081</v>
      </c>
      <c r="X223" s="17">
        <f>X222*X105/1000</f>
        <v>1612331.7800185049</v>
      </c>
      <c r="Y223" s="17"/>
      <c r="Z223" s="289"/>
    </row>
    <row r="224" spans="1:34" s="6" customFormat="1" x14ac:dyDescent="0.3">
      <c r="A224" s="205"/>
      <c r="B224" s="181" t="s">
        <v>298</v>
      </c>
      <c r="C224" s="205">
        <f t="shared" ref="C224:O224" si="145">(C221-C223)/C220</f>
        <v>9017.0422632794453</v>
      </c>
      <c r="D224" s="181">
        <f t="shared" si="145"/>
        <v>8906.5704161073791</v>
      </c>
      <c r="E224" s="181">
        <f t="shared" si="145"/>
        <v>-846.38157647059245</v>
      </c>
      <c r="F224" s="181">
        <f t="shared" si="145"/>
        <v>7920.4739888888889</v>
      </c>
      <c r="G224" s="181">
        <f t="shared" si="145"/>
        <v>5604.3933864734263</v>
      </c>
      <c r="H224" s="181">
        <f t="shared" si="145"/>
        <v>4073.1716378132078</v>
      </c>
      <c r="I224" s="181">
        <f t="shared" si="145"/>
        <v>-1909.7299364303162</v>
      </c>
      <c r="J224" s="181">
        <f t="shared" si="145"/>
        <v>-432.85001028277662</v>
      </c>
      <c r="K224" s="181">
        <f t="shared" si="145"/>
        <v>-1367.3326417525809</v>
      </c>
      <c r="L224" s="181">
        <f t="shared" si="145"/>
        <v>2976.1857297297288</v>
      </c>
      <c r="M224" s="181">
        <f t="shared" si="145"/>
        <v>-3586.1454745762758</v>
      </c>
      <c r="N224" s="181">
        <f t="shared" si="145"/>
        <v>-2479.4431891891891</v>
      </c>
      <c r="O224" s="181">
        <f t="shared" si="145"/>
        <v>-847.6756811989103</v>
      </c>
      <c r="P224" s="181">
        <f t="shared" ref="P224" si="146">(P221-P223)/P220</f>
        <v>2448.6444014303479</v>
      </c>
      <c r="Q224" s="181"/>
      <c r="R224" s="181"/>
      <c r="S224" s="181"/>
      <c r="T224" s="181"/>
      <c r="U224" s="181"/>
      <c r="V224" s="181"/>
      <c r="W224" s="181">
        <f>(W221-W223)/W220</f>
        <v>-1707.8646325308555</v>
      </c>
      <c r="X224" s="206">
        <f>(X221-X223)/X220</f>
        <v>-3768.457864157398</v>
      </c>
      <c r="Y224" s="286">
        <f>AVERAGE(L221:P221)/AVERAGE(L223:P223)</f>
        <v>0.9971614077837655</v>
      </c>
      <c r="Z224" s="290"/>
      <c r="AA224" s="4"/>
      <c r="AB224" s="4"/>
      <c r="AC224" s="4"/>
      <c r="AD224" s="4"/>
      <c r="AE224" s="4"/>
      <c r="AF224" s="4"/>
      <c r="AG224" s="4"/>
      <c r="AH224" s="4"/>
    </row>
    <row r="225" spans="1:34" s="6" customFormat="1" x14ac:dyDescent="0.3">
      <c r="A225" s="144"/>
      <c r="B225" s="367" t="s">
        <v>392</v>
      </c>
      <c r="C225" s="418">
        <v>5914</v>
      </c>
      <c r="D225" s="244">
        <v>5765</v>
      </c>
      <c r="E225" s="244">
        <v>5676</v>
      </c>
      <c r="F225" s="244">
        <v>5546</v>
      </c>
      <c r="G225" s="244">
        <v>5558</v>
      </c>
      <c r="H225" s="244">
        <v>5628</v>
      </c>
      <c r="I225" s="244">
        <v>5585</v>
      </c>
      <c r="J225" s="244">
        <v>5595</v>
      </c>
      <c r="K225" s="244">
        <v>5639</v>
      </c>
      <c r="L225" s="244">
        <v>5688</v>
      </c>
      <c r="M225" s="244">
        <v>5904</v>
      </c>
      <c r="N225" s="244">
        <v>5887</v>
      </c>
      <c r="O225" s="244">
        <v>5905</v>
      </c>
      <c r="P225" s="244">
        <v>6081</v>
      </c>
      <c r="Q225" s="244"/>
      <c r="R225" s="244"/>
      <c r="S225" s="244"/>
      <c r="T225" s="244"/>
      <c r="U225" s="244"/>
      <c r="V225" s="244"/>
      <c r="W225" s="247">
        <f>AVERAGE(N225:P225)</f>
        <v>5957.666666666667</v>
      </c>
      <c r="X225" s="438">
        <f>W225</f>
        <v>5957.666666666667</v>
      </c>
      <c r="Y225" s="292"/>
      <c r="Z225" s="434"/>
      <c r="AA225" s="4"/>
      <c r="AB225" s="4"/>
      <c r="AC225" s="4"/>
      <c r="AD225" s="4"/>
      <c r="AE225" s="4"/>
      <c r="AF225" s="4"/>
      <c r="AG225" s="4"/>
      <c r="AH225" s="4"/>
    </row>
    <row r="226" spans="1:34" s="3" customFormat="1" x14ac:dyDescent="0.3">
      <c r="A226" s="16"/>
      <c r="B226" s="17" t="s">
        <v>139</v>
      </c>
      <c r="C226" s="58">
        <f t="shared" ref="C226:V226" si="147">C225*$F$80</f>
        <v>5914</v>
      </c>
      <c r="D226" s="53">
        <f t="shared" si="147"/>
        <v>5765</v>
      </c>
      <c r="E226" s="53">
        <f t="shared" si="147"/>
        <v>5676</v>
      </c>
      <c r="F226" s="53">
        <f t="shared" si="147"/>
        <v>5546</v>
      </c>
      <c r="G226" s="53">
        <f t="shared" si="147"/>
        <v>5558</v>
      </c>
      <c r="H226" s="53">
        <f t="shared" si="147"/>
        <v>5628</v>
      </c>
      <c r="I226" s="53">
        <f t="shared" si="147"/>
        <v>5585</v>
      </c>
      <c r="J226" s="53">
        <f t="shared" si="147"/>
        <v>5595</v>
      </c>
      <c r="K226" s="53">
        <f t="shared" si="147"/>
        <v>5639</v>
      </c>
      <c r="L226" s="53">
        <f t="shared" si="147"/>
        <v>5688</v>
      </c>
      <c r="M226" s="53">
        <f t="shared" si="147"/>
        <v>5904</v>
      </c>
      <c r="N226" s="53">
        <f t="shared" si="147"/>
        <v>5887</v>
      </c>
      <c r="O226" s="53">
        <f t="shared" si="147"/>
        <v>5905</v>
      </c>
      <c r="P226" s="53">
        <f t="shared" si="147"/>
        <v>6081</v>
      </c>
      <c r="Q226" s="53">
        <f t="shared" si="147"/>
        <v>0</v>
      </c>
      <c r="R226" s="53">
        <f t="shared" si="147"/>
        <v>0</v>
      </c>
      <c r="S226" s="53">
        <f t="shared" si="147"/>
        <v>0</v>
      </c>
      <c r="T226" s="53">
        <f t="shared" si="147"/>
        <v>0</v>
      </c>
      <c r="U226" s="53">
        <f t="shared" si="147"/>
        <v>0</v>
      </c>
      <c r="V226" s="53">
        <f t="shared" si="147"/>
        <v>0</v>
      </c>
      <c r="W226" s="47">
        <f>AVERAGE(N226:P226)</f>
        <v>5957.666666666667</v>
      </c>
      <c r="X226" s="17">
        <f>W226</f>
        <v>5957.666666666667</v>
      </c>
      <c r="Y226" s="13"/>
      <c r="Z226" s="91"/>
    </row>
    <row r="227" spans="1:34" s="4" customFormat="1" x14ac:dyDescent="0.3">
      <c r="A227" s="14"/>
      <c r="B227" s="15" t="s">
        <v>2</v>
      </c>
      <c r="C227" s="252">
        <v>24.8</v>
      </c>
      <c r="D227" s="240">
        <v>28.5</v>
      </c>
      <c r="E227" s="240">
        <v>21.1</v>
      </c>
      <c r="F227" s="240">
        <v>26.9</v>
      </c>
      <c r="G227" s="240">
        <v>24.9</v>
      </c>
      <c r="H227" s="240">
        <v>26.7</v>
      </c>
      <c r="I227" s="240">
        <v>24.9</v>
      </c>
      <c r="J227" s="240">
        <v>25.1</v>
      </c>
      <c r="K227" s="240">
        <v>25.1</v>
      </c>
      <c r="L227" s="240">
        <v>23.6</v>
      </c>
      <c r="M227" s="240">
        <v>25.5</v>
      </c>
      <c r="N227" s="240">
        <v>11.7</v>
      </c>
      <c r="O227" s="240">
        <v>24.1</v>
      </c>
      <c r="P227" s="238">
        <v>21.1</v>
      </c>
      <c r="Q227" s="238"/>
      <c r="R227" s="238"/>
      <c r="S227" s="238"/>
      <c r="T227" s="240"/>
      <c r="U227" s="240"/>
      <c r="V227" s="238"/>
      <c r="W227" s="92">
        <f>AVERAGE(L227:P227)*(1+'Hypothèses production'!B7)</f>
        <v>21.2</v>
      </c>
      <c r="X227" s="208">
        <f>W227</f>
        <v>21.2</v>
      </c>
      <c r="Y227" s="15"/>
      <c r="Z227" s="288"/>
    </row>
    <row r="228" spans="1:34" s="3" customFormat="1" x14ac:dyDescent="0.3">
      <c r="A228" s="16" t="s">
        <v>9</v>
      </c>
      <c r="B228" s="17" t="s">
        <v>138</v>
      </c>
      <c r="C228" s="58">
        <f>C227*C226</f>
        <v>146667.20000000001</v>
      </c>
      <c r="D228" s="53">
        <f t="shared" ref="D228" si="148">D227*D226</f>
        <v>164302.5</v>
      </c>
      <c r="E228" s="53">
        <f t="shared" ref="E228" si="149">E227*E226</f>
        <v>119763.6</v>
      </c>
      <c r="F228" s="53">
        <f t="shared" ref="F228" si="150">F227*F226</f>
        <v>149187.4</v>
      </c>
      <c r="G228" s="53">
        <f t="shared" ref="G228" si="151">G227*G226</f>
        <v>138394.19999999998</v>
      </c>
      <c r="H228" s="53">
        <f t="shared" ref="H228" si="152">H227*H226</f>
        <v>150267.6</v>
      </c>
      <c r="I228" s="53">
        <f t="shared" ref="I228" si="153">I227*I226</f>
        <v>139066.5</v>
      </c>
      <c r="J228" s="53">
        <f t="shared" ref="J228" si="154">J227*J226</f>
        <v>140434.5</v>
      </c>
      <c r="K228" s="53">
        <f t="shared" ref="K228" si="155">K227*K226</f>
        <v>141538.9</v>
      </c>
      <c r="L228" s="53">
        <f t="shared" ref="L228" si="156">L227*L226</f>
        <v>134236.80000000002</v>
      </c>
      <c r="M228" s="53">
        <f t="shared" ref="M228" si="157">M227*M226</f>
        <v>150552</v>
      </c>
      <c r="N228" s="53">
        <f t="shared" ref="N228" si="158">N227*N226</f>
        <v>68877.899999999994</v>
      </c>
      <c r="O228" s="53">
        <f t="shared" ref="O228:P228" si="159">O227*O226</f>
        <v>142310.5</v>
      </c>
      <c r="P228" s="53">
        <f t="shared" si="159"/>
        <v>128309.1</v>
      </c>
      <c r="Q228" s="53">
        <f t="shared" ref="Q228:V228" si="160">Q227*Q226</f>
        <v>0</v>
      </c>
      <c r="R228" s="53">
        <f t="shared" si="160"/>
        <v>0</v>
      </c>
      <c r="S228" s="53">
        <f t="shared" si="160"/>
        <v>0</v>
      </c>
      <c r="T228" s="53">
        <f t="shared" si="160"/>
        <v>0</v>
      </c>
      <c r="U228" s="53">
        <f t="shared" si="160"/>
        <v>0</v>
      </c>
      <c r="V228" s="53">
        <f t="shared" si="160"/>
        <v>0</v>
      </c>
      <c r="W228" s="47">
        <f t="shared" ref="W228:X228" si="161">W227*W226</f>
        <v>126302.53333333334</v>
      </c>
      <c r="X228" s="17">
        <f t="shared" si="161"/>
        <v>126302.53333333334</v>
      </c>
      <c r="Y228" s="17"/>
      <c r="Z228" s="246"/>
    </row>
    <row r="229" spans="1:34" s="8" customFormat="1" x14ac:dyDescent="0.3">
      <c r="A229" s="20"/>
      <c r="B229" s="15" t="s">
        <v>296</v>
      </c>
      <c r="C229" s="20">
        <f>'Calcul R84'!C20</f>
        <v>4.9000000000000004</v>
      </c>
      <c r="D229" s="49">
        <f>'Calcul R84'!D20</f>
        <v>4.2</v>
      </c>
      <c r="E229" s="49">
        <f>'Calcul R84'!E20</f>
        <v>3.6</v>
      </c>
      <c r="F229" s="49">
        <f>'Calcul R84'!F20</f>
        <v>3.6</v>
      </c>
      <c r="G229" s="49">
        <f>'Calcul R84'!G20</f>
        <v>3.6</v>
      </c>
      <c r="H229" s="49">
        <f>'Calcul R84'!H20</f>
        <v>3.4</v>
      </c>
      <c r="I229" s="49">
        <f>'Calcul R84'!I20</f>
        <v>3.3</v>
      </c>
      <c r="J229" s="49">
        <f>'Calcul R84'!J20</f>
        <v>2.9</v>
      </c>
      <c r="K229" s="49">
        <f>'Calcul R84'!K20</f>
        <v>2.7</v>
      </c>
      <c r="L229" s="49">
        <f>'Calcul R84'!L20</f>
        <v>2.6</v>
      </c>
      <c r="M229" s="49">
        <f>'Calcul R84'!M20</f>
        <v>2.7</v>
      </c>
      <c r="N229" s="49">
        <f>'Calcul R84'!N20</f>
        <v>2.7</v>
      </c>
      <c r="O229" s="49">
        <f>'Calcul R84'!O20</f>
        <v>2.7</v>
      </c>
      <c r="P229" s="49">
        <f>'Calcul R84'!P20</f>
        <v>2.7375000000000003</v>
      </c>
      <c r="Q229" s="49">
        <f>'Calcul R84'!Q20</f>
        <v>0</v>
      </c>
      <c r="R229" s="49">
        <f>'Calcul R84'!R20</f>
        <v>0</v>
      </c>
      <c r="S229" s="49">
        <f>'Calcul R84'!S20</f>
        <v>0</v>
      </c>
      <c r="T229" s="49">
        <f>'Calcul R84'!T20</f>
        <v>0</v>
      </c>
      <c r="U229" s="49">
        <f>'Calcul R84'!U20</f>
        <v>0</v>
      </c>
      <c r="V229" s="49">
        <f>'Calcul R84'!V20</f>
        <v>0</v>
      </c>
      <c r="W229" s="49">
        <f>'Calcul R84'!W20</f>
        <v>3</v>
      </c>
      <c r="X229" s="21">
        <f>'Calcul R84'!X20</f>
        <v>3.1500000000000004</v>
      </c>
      <c r="Y229" s="21"/>
      <c r="Z229" s="291"/>
      <c r="AA229" s="6"/>
      <c r="AB229" s="6"/>
      <c r="AC229" s="6"/>
      <c r="AD229" s="6"/>
      <c r="AE229" s="6"/>
      <c r="AF229" s="6"/>
      <c r="AG229" s="6"/>
      <c r="AH229" s="6"/>
    </row>
    <row r="230" spans="1:34" s="3" customFormat="1" x14ac:dyDescent="0.3">
      <c r="A230" s="16"/>
      <c r="B230" s="17" t="s">
        <v>297</v>
      </c>
      <c r="C230" s="16">
        <f t="shared" ref="C230:O230" si="162">C229*C105/1000</f>
        <v>307549.65149999998</v>
      </c>
      <c r="D230" s="47">
        <f t="shared" si="162"/>
        <v>264895.4448</v>
      </c>
      <c r="E230" s="47">
        <f t="shared" si="162"/>
        <v>228153.49559999999</v>
      </c>
      <c r="F230" s="47">
        <f t="shared" si="162"/>
        <v>229312.31400000001</v>
      </c>
      <c r="G230" s="47">
        <f t="shared" si="162"/>
        <v>230500.64880000002</v>
      </c>
      <c r="H230" s="47">
        <f t="shared" si="162"/>
        <v>218622.79140000002</v>
      </c>
      <c r="I230" s="47">
        <f t="shared" si="162"/>
        <v>212747.01360000001</v>
      </c>
      <c r="J230" s="47">
        <f t="shared" si="162"/>
        <v>187453.48569999999</v>
      </c>
      <c r="K230" s="47">
        <f t="shared" si="162"/>
        <v>175078.89990000002</v>
      </c>
      <c r="L230" s="47">
        <f t="shared" si="162"/>
        <v>169251.5968</v>
      </c>
      <c r="M230" s="47">
        <f t="shared" si="162"/>
        <v>176226.71580000001</v>
      </c>
      <c r="N230" s="47">
        <f t="shared" si="162"/>
        <v>176864.07510000002</v>
      </c>
      <c r="O230" s="47">
        <f t="shared" si="162"/>
        <v>177448.9437</v>
      </c>
      <c r="P230" s="47">
        <f t="shared" ref="P230" si="163">P229*P105/1000</f>
        <v>180472.3182375</v>
      </c>
      <c r="Q230" s="47">
        <f t="shared" ref="Q230:V230" si="164">Q229*Q175/1000</f>
        <v>0</v>
      </c>
      <c r="R230" s="47">
        <f t="shared" si="164"/>
        <v>0</v>
      </c>
      <c r="S230" s="47">
        <f t="shared" si="164"/>
        <v>0</v>
      </c>
      <c r="T230" s="47">
        <f t="shared" si="164"/>
        <v>0</v>
      </c>
      <c r="U230" s="47">
        <f t="shared" si="164"/>
        <v>0</v>
      </c>
      <c r="V230" s="47">
        <f t="shared" si="164"/>
        <v>0</v>
      </c>
      <c r="W230" s="47">
        <f>W229*W105/1000</f>
        <v>200289.66211409998</v>
      </c>
      <c r="X230" s="17">
        <f>X229*X105/1000</f>
        <v>210304.14521980501</v>
      </c>
      <c r="Y230" s="17"/>
      <c r="Z230" s="289"/>
    </row>
    <row r="231" spans="1:34" s="6" customFormat="1" x14ac:dyDescent="0.3">
      <c r="A231" s="18"/>
      <c r="B231" s="19" t="s">
        <v>298</v>
      </c>
      <c r="C231" s="205">
        <f t="shared" ref="C231:O231" si="165">(C228-C230)/C227</f>
        <v>-6487.1956249999985</v>
      </c>
      <c r="D231" s="181">
        <f t="shared" si="165"/>
        <v>-3529.5770105263159</v>
      </c>
      <c r="E231" s="181">
        <f t="shared" si="165"/>
        <v>-5136.9618767772499</v>
      </c>
      <c r="F231" s="181">
        <f t="shared" si="165"/>
        <v>-2978.6213382899637</v>
      </c>
      <c r="G231" s="181">
        <f t="shared" si="165"/>
        <v>-3699.0541686747006</v>
      </c>
      <c r="H231" s="181">
        <f t="shared" si="165"/>
        <v>-2560.1195280898883</v>
      </c>
      <c r="I231" s="181">
        <f t="shared" si="165"/>
        <v>-2959.0567710843379</v>
      </c>
      <c r="J231" s="181">
        <f t="shared" si="165"/>
        <v>-1873.2663625498003</v>
      </c>
      <c r="K231" s="181">
        <f t="shared" si="165"/>
        <v>-1336.2549760956185</v>
      </c>
      <c r="L231" s="181">
        <f t="shared" si="165"/>
        <v>-1483.6778305084738</v>
      </c>
      <c r="M231" s="181">
        <f t="shared" si="165"/>
        <v>-1006.8516000000002</v>
      </c>
      <c r="N231" s="181">
        <f t="shared" si="165"/>
        <v>-9229.5876153846184</v>
      </c>
      <c r="O231" s="181">
        <f t="shared" si="165"/>
        <v>-1458.0267095435686</v>
      </c>
      <c r="P231" s="181">
        <f t="shared" ref="P231" si="166">(P228-P230)/P227</f>
        <v>-2472.1904377962082</v>
      </c>
      <c r="Q231" s="181"/>
      <c r="R231" s="181"/>
      <c r="S231" s="181"/>
      <c r="T231" s="181"/>
      <c r="U231" s="181"/>
      <c r="V231" s="181"/>
      <c r="W231" s="181">
        <f>(W228-W230)/W227</f>
        <v>-3489.9589047531435</v>
      </c>
      <c r="X231" s="206">
        <f>(X228-X230)/X227</f>
        <v>-3962.3401833241355</v>
      </c>
      <c r="Y231" s="286">
        <f>AVERAGE(L228:P228)/AVERAGE(L230:P230)</f>
        <v>0.70920377123045619</v>
      </c>
      <c r="Z231" s="290"/>
      <c r="AA231" s="4"/>
      <c r="AB231" s="4"/>
      <c r="AC231" s="4"/>
      <c r="AD231" s="4"/>
      <c r="AE231" s="4"/>
      <c r="AF231" s="4"/>
      <c r="AG231" s="4"/>
      <c r="AH231" s="4"/>
    </row>
    <row r="232" spans="1:34" x14ac:dyDescent="0.3">
      <c r="A232" s="16" t="s">
        <v>13</v>
      </c>
      <c r="B232" s="47" t="s">
        <v>3</v>
      </c>
      <c r="C232" s="234">
        <v>1514274</v>
      </c>
      <c r="D232" s="237">
        <v>1552915</v>
      </c>
      <c r="E232" s="237">
        <v>1480599</v>
      </c>
      <c r="F232" s="237">
        <v>1388134</v>
      </c>
      <c r="G232" s="237">
        <v>1398331</v>
      </c>
      <c r="H232" s="237">
        <v>1434739</v>
      </c>
      <c r="I232" s="237">
        <v>1450961</v>
      </c>
      <c r="J232" s="237">
        <v>1418926</v>
      </c>
      <c r="K232" s="237">
        <v>1425098</v>
      </c>
      <c r="L232" s="237">
        <v>1390909</v>
      </c>
      <c r="M232" s="237">
        <v>1399496</v>
      </c>
      <c r="N232" s="237">
        <v>1380208</v>
      </c>
      <c r="O232" s="237">
        <v>1316240</v>
      </c>
      <c r="P232" s="237">
        <v>1259251</v>
      </c>
      <c r="Q232" s="248"/>
      <c r="R232" s="248"/>
      <c r="S232" s="249"/>
      <c r="T232" s="244"/>
      <c r="U232" s="254"/>
      <c r="V232" s="248"/>
      <c r="W232" s="47">
        <f>AVERAGE(N232:P232)*(1+'Hypothèses production'!$B$8)</f>
        <v>1318566.3333333333</v>
      </c>
      <c r="X232" s="17">
        <f>W232</f>
        <v>1318566.3333333333</v>
      </c>
      <c r="Y232" s="13"/>
      <c r="Z232" s="102"/>
      <c r="AA232" s="7"/>
      <c r="AB232" s="7"/>
      <c r="AC232" s="7"/>
      <c r="AD232" s="7"/>
      <c r="AE232" s="7"/>
      <c r="AF232" s="7"/>
      <c r="AG232" s="7"/>
      <c r="AH232" s="7"/>
    </row>
    <row r="233" spans="1:34" x14ac:dyDescent="0.3">
      <c r="A233" s="14" t="s">
        <v>14</v>
      </c>
      <c r="B233" s="48" t="s">
        <v>296</v>
      </c>
      <c r="C233" s="14">
        <f>'Calcul R84'!C21</f>
        <v>25.347511774425175</v>
      </c>
      <c r="D233" s="48">
        <f>'Calcul R84'!D21</f>
        <v>24.848940821218921</v>
      </c>
      <c r="E233" s="48">
        <f>'Calcul R84'!E21</f>
        <v>24.379226851426996</v>
      </c>
      <c r="F233" s="48">
        <f>'Calcul R84'!F21</f>
        <v>23.555226102969154</v>
      </c>
      <c r="G233" s="48">
        <f>'Calcul R84'!G21</f>
        <v>23.891552967691318</v>
      </c>
      <c r="H233" s="48">
        <f>'Calcul R84'!H21</f>
        <v>23.504527680437956</v>
      </c>
      <c r="I233" s="48">
        <f>'Calcul R84'!I21</f>
        <v>23.291689759126498</v>
      </c>
      <c r="J233" s="48">
        <f>'Calcul R84'!J21</f>
        <v>22.882608381978745</v>
      </c>
      <c r="K233" s="48">
        <f>'Calcul R84'!K21</f>
        <v>23.3</v>
      </c>
      <c r="L233" s="48">
        <f>'Calcul R84'!L21</f>
        <v>23</v>
      </c>
      <c r="M233" s="48">
        <f>'Calcul R84'!M21</f>
        <v>22.2</v>
      </c>
      <c r="N233" s="48">
        <f>'Calcul R84'!N21</f>
        <v>22.2</v>
      </c>
      <c r="O233" s="48">
        <f>'Calcul R84'!O21</f>
        <v>22.1</v>
      </c>
      <c r="P233" s="48">
        <f>'Calcul R84'!P21</f>
        <v>21.3</v>
      </c>
      <c r="Q233" s="48">
        <f>'Calcul R84'!Q21</f>
        <v>0</v>
      </c>
      <c r="R233" s="48">
        <f>'Calcul R84'!R21</f>
        <v>0</v>
      </c>
      <c r="S233" s="48">
        <f>'Calcul R84'!S21</f>
        <v>0</v>
      </c>
      <c r="T233" s="48">
        <f>'Calcul R84'!T21</f>
        <v>0</v>
      </c>
      <c r="U233" s="48">
        <f>'Calcul R84'!U21</f>
        <v>0</v>
      </c>
      <c r="V233" s="48">
        <f>'Calcul R84'!V21</f>
        <v>0</v>
      </c>
      <c r="W233" s="48">
        <f>'Calcul R84'!W21</f>
        <v>20</v>
      </c>
      <c r="X233" s="15">
        <f>'Calcul R84'!X21</f>
        <v>18</v>
      </c>
      <c r="Y233" s="15"/>
      <c r="Z233" s="14"/>
      <c r="AA233" s="7"/>
      <c r="AB233" s="7"/>
      <c r="AC233" s="7"/>
      <c r="AD233" s="7"/>
      <c r="AE233" s="7"/>
      <c r="AF233" s="7"/>
      <c r="AG233" s="7"/>
      <c r="AH233" s="7"/>
    </row>
    <row r="234" spans="1:34" x14ac:dyDescent="0.3">
      <c r="A234" s="16"/>
      <c r="B234" s="47" t="s">
        <v>297</v>
      </c>
      <c r="C234" s="16">
        <f t="shared" ref="C234:O234" si="167">C233*C105/1000</f>
        <v>1590942.5331870632</v>
      </c>
      <c r="D234" s="47">
        <f t="shared" si="167"/>
        <v>1567231.2456299197</v>
      </c>
      <c r="E234" s="47">
        <f t="shared" si="167"/>
        <v>1545057.1739384588</v>
      </c>
      <c r="F234" s="47">
        <f t="shared" si="167"/>
        <v>1500417.6123514054</v>
      </c>
      <c r="G234" s="47">
        <f t="shared" si="167"/>
        <v>1529727.3499701151</v>
      </c>
      <c r="H234" s="47">
        <f t="shared" si="167"/>
        <v>1511360.4270693862</v>
      </c>
      <c r="I234" s="47">
        <f t="shared" si="167"/>
        <v>1501587.1024096564</v>
      </c>
      <c r="J234" s="47">
        <f t="shared" si="167"/>
        <v>1479111.966589639</v>
      </c>
      <c r="K234" s="47">
        <f t="shared" si="167"/>
        <v>1510866.0621000002</v>
      </c>
      <c r="L234" s="47">
        <f t="shared" si="167"/>
        <v>1497225.6640000001</v>
      </c>
      <c r="M234" s="47">
        <f t="shared" si="167"/>
        <v>1448975.2187999999</v>
      </c>
      <c r="N234" s="47">
        <f t="shared" si="167"/>
        <v>1454215.7285999998</v>
      </c>
      <c r="O234" s="47">
        <f t="shared" si="167"/>
        <v>1452452.4651000001</v>
      </c>
      <c r="P234" s="47">
        <f t="shared" ref="P234:V234" si="168">P233*P105/1000</f>
        <v>1404222.9693</v>
      </c>
      <c r="Q234" s="47">
        <f t="shared" si="168"/>
        <v>0</v>
      </c>
      <c r="R234" s="47">
        <f t="shared" si="168"/>
        <v>0</v>
      </c>
      <c r="S234" s="47">
        <f t="shared" si="168"/>
        <v>0</v>
      </c>
      <c r="T234" s="47">
        <f t="shared" si="168"/>
        <v>0</v>
      </c>
      <c r="U234" s="47">
        <f t="shared" si="168"/>
        <v>0</v>
      </c>
      <c r="V234" s="47">
        <f t="shared" si="168"/>
        <v>0</v>
      </c>
      <c r="W234" s="47">
        <f>W233*W105/1000</f>
        <v>1335264.4140939999</v>
      </c>
      <c r="X234" s="17">
        <f>X233*X105/1000</f>
        <v>1201737.9726845999</v>
      </c>
      <c r="Y234" s="17"/>
      <c r="Z234" s="16"/>
      <c r="AA234" s="7"/>
      <c r="AB234" s="7"/>
      <c r="AC234" s="7"/>
      <c r="AD234" s="7"/>
      <c r="AE234" s="7"/>
      <c r="AF234" s="7"/>
      <c r="AG234" s="7"/>
      <c r="AH234" s="7"/>
    </row>
    <row r="235" spans="1:34" x14ac:dyDescent="0.3">
      <c r="A235" s="16"/>
      <c r="B235" s="53" t="s">
        <v>300</v>
      </c>
      <c r="C235" s="58">
        <f t="shared" ref="C235:O235" si="169">C232-C234</f>
        <v>-76668.533187063178</v>
      </c>
      <c r="D235" s="53">
        <f t="shared" si="169"/>
        <v>-14316.245629919693</v>
      </c>
      <c r="E235" s="53">
        <f t="shared" si="169"/>
        <v>-64458.173938458785</v>
      </c>
      <c r="F235" s="53">
        <f t="shared" si="169"/>
        <v>-112283.61235140543</v>
      </c>
      <c r="G235" s="53">
        <f t="shared" si="169"/>
        <v>-131396.34997011512</v>
      </c>
      <c r="H235" s="53">
        <f t="shared" si="169"/>
        <v>-76621.427069386235</v>
      </c>
      <c r="I235" s="53">
        <f t="shared" si="169"/>
        <v>-50626.102409656392</v>
      </c>
      <c r="J235" s="53">
        <f t="shared" si="169"/>
        <v>-60185.966589638963</v>
      </c>
      <c r="K235" s="53">
        <f t="shared" si="169"/>
        <v>-85768.062100000214</v>
      </c>
      <c r="L235" s="53">
        <f t="shared" si="169"/>
        <v>-106316.66400000011</v>
      </c>
      <c r="M235" s="53">
        <f t="shared" si="169"/>
        <v>-49479.218799999915</v>
      </c>
      <c r="N235" s="53">
        <f t="shared" si="169"/>
        <v>-74007.728599999798</v>
      </c>
      <c r="O235" s="53">
        <f t="shared" si="169"/>
        <v>-136212.46510000015</v>
      </c>
      <c r="P235" s="53">
        <f t="shared" ref="P235:V235" si="170">P232-P234</f>
        <v>-144971.9693</v>
      </c>
      <c r="Q235" s="53">
        <f t="shared" si="170"/>
        <v>0</v>
      </c>
      <c r="R235" s="53">
        <f t="shared" si="170"/>
        <v>0</v>
      </c>
      <c r="S235" s="53">
        <f t="shared" si="170"/>
        <v>0</v>
      </c>
      <c r="T235" s="53">
        <f t="shared" si="170"/>
        <v>0</v>
      </c>
      <c r="U235" s="53">
        <f t="shared" si="170"/>
        <v>0</v>
      </c>
      <c r="V235" s="53">
        <f t="shared" si="170"/>
        <v>0</v>
      </c>
      <c r="W235" s="53">
        <f>W232-W234</f>
        <v>-16698.080760666635</v>
      </c>
      <c r="X235" s="210">
        <f>X232-X234</f>
        <v>116828.36064873333</v>
      </c>
      <c r="Y235" s="292">
        <f>AVERAGE(L232:P232)/AVERAGE(L234:P234)</f>
        <v>0.92958776840983692</v>
      </c>
      <c r="Z235" s="293"/>
      <c r="AA235" s="3"/>
      <c r="AB235" s="3"/>
      <c r="AC235" s="3"/>
      <c r="AD235" s="3"/>
      <c r="AE235" s="3"/>
      <c r="AF235" s="3"/>
      <c r="AG235" s="3"/>
      <c r="AH235" s="3"/>
    </row>
    <row r="236" spans="1:34" x14ac:dyDescent="0.3">
      <c r="A236" s="18"/>
      <c r="B236" s="203" t="s">
        <v>298</v>
      </c>
      <c r="C236" s="18">
        <f>C235*'besoin alim animale'!$C$37</f>
        <v>-97967.04800991324</v>
      </c>
      <c r="D236" s="203">
        <f>D235*'besoin alim animale'!$C$37</f>
        <v>-18293.297975664289</v>
      </c>
      <c r="E236" s="203">
        <f>E235*'besoin alim animale'!$C$37</f>
        <v>-82364.651550759896</v>
      </c>
      <c r="F236" s="203">
        <f>F235*'besoin alim animale'!$C$37</f>
        <v>-143475.99444895532</v>
      </c>
      <c r="G236" s="203">
        <f>G235*'besoin alim animale'!$C$37</f>
        <v>-167898.24965663618</v>
      </c>
      <c r="H236" s="203">
        <f>H235*'besoin alim animale'!$C$37</f>
        <v>-97906.855815016825</v>
      </c>
      <c r="I236" s="203">
        <f>I235*'besoin alim animale'!$C$37</f>
        <v>-64690.031218159209</v>
      </c>
      <c r="J236" s="203">
        <f>J235*'besoin alim animale'!$C$37</f>
        <v>-76905.625206419223</v>
      </c>
      <c r="K236" s="203">
        <f>K235*'besoin alim animale'!$C$37</f>
        <v>-109594.42561613719</v>
      </c>
      <c r="L236" s="203">
        <f>L235*'besoin alim animale'!$C$37</f>
        <v>-135851.42813322155</v>
      </c>
      <c r="M236" s="203">
        <f>M235*'besoin alim animale'!$C$37</f>
        <v>-63224.543397036294</v>
      </c>
      <c r="N236" s="203">
        <f>N235*'besoin alim animale'!$C$37</f>
        <v>-94567.072036852362</v>
      </c>
      <c r="O236" s="203">
        <f>O235*'besoin alim animale'!$C$37</f>
        <v>-174052.28133739787</v>
      </c>
      <c r="P236" s="203">
        <f>P235*'besoin alim animale'!$C$37</f>
        <v>-185245.17538182472</v>
      </c>
      <c r="Q236" s="99"/>
      <c r="R236" s="99"/>
      <c r="S236" s="209"/>
      <c r="T236" s="203"/>
      <c r="U236" s="203"/>
      <c r="V236" s="99"/>
      <c r="W236" s="203">
        <f>W235*'besoin alim animale'!$C$37</f>
        <v>-21336.806790894327</v>
      </c>
      <c r="X236" s="19">
        <f>X235*'besoin alim animale'!$C$37</f>
        <v>149283.27360415927</v>
      </c>
      <c r="Y236" s="175"/>
      <c r="Z236" s="25"/>
      <c r="AA236" s="4"/>
      <c r="AB236" s="4"/>
      <c r="AC236" s="4"/>
      <c r="AD236" s="4"/>
      <c r="AE236" s="4"/>
      <c r="AF236" s="4"/>
      <c r="AG236" s="4"/>
      <c r="AH236" s="4"/>
    </row>
    <row r="237" spans="1:34" x14ac:dyDescent="0.3">
      <c r="A237" s="12" t="s">
        <v>13</v>
      </c>
      <c r="B237" s="54" t="s">
        <v>3</v>
      </c>
      <c r="C237" s="234">
        <v>2228999</v>
      </c>
      <c r="D237" s="237">
        <v>2198437</v>
      </c>
      <c r="E237" s="237">
        <v>2147532</v>
      </c>
      <c r="F237" s="237">
        <v>2124771</v>
      </c>
      <c r="G237" s="237">
        <v>2135724</v>
      </c>
      <c r="H237" s="237">
        <v>2156981</v>
      </c>
      <c r="I237" s="237">
        <v>2176604</v>
      </c>
      <c r="J237" s="237">
        <v>2168768</v>
      </c>
      <c r="K237" s="237">
        <v>2182556</v>
      </c>
      <c r="L237" s="237">
        <v>2182814</v>
      </c>
      <c r="M237" s="237">
        <v>2185532</v>
      </c>
      <c r="N237" s="237">
        <v>2207966</v>
      </c>
      <c r="O237" s="237">
        <v>2155872</v>
      </c>
      <c r="P237" s="237">
        <v>2048588</v>
      </c>
      <c r="Q237" s="248"/>
      <c r="R237" s="248"/>
      <c r="S237" s="249"/>
      <c r="T237" s="244"/>
      <c r="U237" s="254"/>
      <c r="V237" s="248"/>
      <c r="W237" s="54">
        <f>AVERAGE(N237:P237)*(1+'Hypothèses production'!$B$9)</f>
        <v>2137475.3333333335</v>
      </c>
      <c r="X237" s="13">
        <f>W237</f>
        <v>2137475.3333333335</v>
      </c>
      <c r="Y237" s="13"/>
      <c r="Z237" s="104"/>
      <c r="AA237" s="7"/>
      <c r="AB237" s="7"/>
      <c r="AC237" s="7"/>
      <c r="AD237" s="7"/>
      <c r="AE237" s="7"/>
      <c r="AF237" s="7"/>
      <c r="AG237" s="7"/>
      <c r="AH237" s="7"/>
    </row>
    <row r="238" spans="1:34" x14ac:dyDescent="0.3">
      <c r="A238" s="14" t="s">
        <v>15</v>
      </c>
      <c r="B238" s="48" t="s">
        <v>296</v>
      </c>
      <c r="C238" s="14">
        <f>'Calcul R84'!C22</f>
        <v>33.083796105560623</v>
      </c>
      <c r="D238" s="48">
        <f>'Calcul R84'!D22</f>
        <v>32.32788259519932</v>
      </c>
      <c r="E238" s="48">
        <f>'Calcul R84'!E22</f>
        <v>32.277756859686157</v>
      </c>
      <c r="F238" s="48">
        <f>'Calcul R84'!F22</f>
        <v>32.020096090337681</v>
      </c>
      <c r="G238" s="48">
        <f>'Calcul R84'!G22</f>
        <v>32.700080583095684</v>
      </c>
      <c r="H238" s="48">
        <f>'Calcul R84'!H22</f>
        <v>33.202226948007997</v>
      </c>
      <c r="I238" s="48">
        <f>'Calcul R84'!I22</f>
        <v>32.718881528031908</v>
      </c>
      <c r="J238" s="48">
        <f>'Calcul R84'!J22</f>
        <v>32.624278581050753</v>
      </c>
      <c r="K238" s="48">
        <f>'Calcul R84'!K22</f>
        <v>32.908807690008665</v>
      </c>
      <c r="L238" s="48">
        <f>'Calcul R84'!L22</f>
        <v>31.9</v>
      </c>
      <c r="M238" s="48">
        <f>'Calcul R84'!M22</f>
        <v>31.7</v>
      </c>
      <c r="N238" s="48">
        <f>'Calcul R84'!N22</f>
        <v>31.7</v>
      </c>
      <c r="O238" s="48">
        <f>'Calcul R84'!O22</f>
        <v>32.1</v>
      </c>
      <c r="P238" s="48">
        <f>'Calcul R84'!P22</f>
        <v>30.6</v>
      </c>
      <c r="Q238" s="48">
        <f>'Calcul R84'!Q22</f>
        <v>0</v>
      </c>
      <c r="R238" s="48">
        <f>'Calcul R84'!R22</f>
        <v>0</v>
      </c>
      <c r="S238" s="48">
        <f>'Calcul R84'!S22</f>
        <v>0</v>
      </c>
      <c r="T238" s="48">
        <f>'Calcul R84'!T22</f>
        <v>0</v>
      </c>
      <c r="U238" s="48">
        <f>'Calcul R84'!U22</f>
        <v>0</v>
      </c>
      <c r="V238" s="48">
        <f>'Calcul R84'!V22</f>
        <v>0</v>
      </c>
      <c r="W238" s="48">
        <f>'Calcul R84'!W22</f>
        <v>30</v>
      </c>
      <c r="X238" s="15">
        <f>'Calcul R84'!X22</f>
        <v>28.5</v>
      </c>
      <c r="Y238" s="15"/>
      <c r="Z238" s="14"/>
      <c r="AA238" s="7"/>
      <c r="AB238" s="7"/>
      <c r="AC238" s="7"/>
      <c r="AD238" s="7"/>
      <c r="AE238" s="7"/>
      <c r="AF238" s="7"/>
      <c r="AG238" s="7"/>
      <c r="AH238" s="7"/>
    </row>
    <row r="239" spans="1:34" x14ac:dyDescent="0.3">
      <c r="A239" s="16"/>
      <c r="B239" s="47" t="s">
        <v>297</v>
      </c>
      <c r="C239" s="16">
        <f t="shared" ref="C239:O239" si="171">C238*C105/1000</f>
        <v>2076512.2372575973</v>
      </c>
      <c r="D239" s="47">
        <f t="shared" si="171"/>
        <v>2038930.6760708338</v>
      </c>
      <c r="E239" s="47">
        <f t="shared" si="171"/>
        <v>2045634.182684521</v>
      </c>
      <c r="F239" s="47">
        <f t="shared" si="171"/>
        <v>2039611.7580493574</v>
      </c>
      <c r="G239" s="47">
        <f t="shared" si="171"/>
        <v>2093719.386171066</v>
      </c>
      <c r="H239" s="47">
        <f t="shared" si="171"/>
        <v>2134930.4517852385</v>
      </c>
      <c r="I239" s="47">
        <f t="shared" si="171"/>
        <v>2109346.7677033311</v>
      </c>
      <c r="J239" s="47">
        <f t="shared" si="171"/>
        <v>2108805.082229591</v>
      </c>
      <c r="K239" s="47">
        <f t="shared" si="171"/>
        <v>2133939.9434768064</v>
      </c>
      <c r="L239" s="47">
        <f t="shared" si="171"/>
        <v>2076586.8991999999</v>
      </c>
      <c r="M239" s="47">
        <f t="shared" si="171"/>
        <v>2069032.1817999999</v>
      </c>
      <c r="N239" s="47">
        <f t="shared" si="171"/>
        <v>2076515.2520999999</v>
      </c>
      <c r="O239" s="47">
        <f t="shared" si="171"/>
        <v>2109670.7751000002</v>
      </c>
      <c r="P239" s="47">
        <f t="shared" ref="P239" si="172">P238*P105/1000</f>
        <v>2017334.4066000001</v>
      </c>
      <c r="Q239" s="47">
        <f t="shared" ref="Q239:V239" si="173">Q238*Q110/1000</f>
        <v>0</v>
      </c>
      <c r="R239" s="47">
        <f t="shared" si="173"/>
        <v>0</v>
      </c>
      <c r="S239" s="47">
        <f t="shared" si="173"/>
        <v>0</v>
      </c>
      <c r="T239" s="47">
        <f t="shared" si="173"/>
        <v>0</v>
      </c>
      <c r="U239" s="47">
        <f t="shared" si="173"/>
        <v>0</v>
      </c>
      <c r="V239" s="47">
        <f t="shared" si="173"/>
        <v>0</v>
      </c>
      <c r="W239" s="47">
        <f>W238*W105/1000</f>
        <v>2002896.6211409997</v>
      </c>
      <c r="X239" s="17">
        <f>X238*X105/1000</f>
        <v>1902751.7900839499</v>
      </c>
      <c r="Y239" s="17"/>
      <c r="Z239" s="16"/>
      <c r="AA239" s="7"/>
      <c r="AB239" s="7"/>
      <c r="AC239" s="7"/>
      <c r="AD239" s="7"/>
      <c r="AE239" s="7"/>
      <c r="AF239" s="7"/>
      <c r="AG239" s="7"/>
      <c r="AH239" s="7"/>
    </row>
    <row r="240" spans="1:34" x14ac:dyDescent="0.3">
      <c r="A240" s="16"/>
      <c r="B240" s="53" t="s">
        <v>300</v>
      </c>
      <c r="C240" s="58">
        <f t="shared" ref="C240:O240" si="174">C237-C239</f>
        <v>152486.76274240273</v>
      </c>
      <c r="D240" s="53">
        <f t="shared" si="174"/>
        <v>159506.32392916619</v>
      </c>
      <c r="E240" s="53">
        <f t="shared" si="174"/>
        <v>101897.81731547904</v>
      </c>
      <c r="F240" s="53">
        <f t="shared" si="174"/>
        <v>85159.24195064255</v>
      </c>
      <c r="G240" s="53">
        <f t="shared" si="174"/>
        <v>42004.613828934031</v>
      </c>
      <c r="H240" s="53">
        <f t="shared" si="174"/>
        <v>22050.54821476154</v>
      </c>
      <c r="I240" s="53">
        <f t="shared" si="174"/>
        <v>67257.232296668924</v>
      </c>
      <c r="J240" s="53">
        <f t="shared" si="174"/>
        <v>59962.917770409025</v>
      </c>
      <c r="K240" s="53">
        <f t="shared" si="174"/>
        <v>48616.056523193605</v>
      </c>
      <c r="L240" s="53">
        <f t="shared" si="174"/>
        <v>106227.10080000013</v>
      </c>
      <c r="M240" s="53">
        <f t="shared" si="174"/>
        <v>116499.8182000001</v>
      </c>
      <c r="N240" s="53">
        <f t="shared" si="174"/>
        <v>131450.74790000007</v>
      </c>
      <c r="O240" s="53">
        <f t="shared" si="174"/>
        <v>46201.224899999797</v>
      </c>
      <c r="P240" s="53">
        <f t="shared" ref="P240:V240" si="175">P237-P239</f>
        <v>31253.593399999896</v>
      </c>
      <c r="Q240" s="53">
        <f t="shared" si="175"/>
        <v>0</v>
      </c>
      <c r="R240" s="53">
        <f t="shared" si="175"/>
        <v>0</v>
      </c>
      <c r="S240" s="53">
        <f t="shared" si="175"/>
        <v>0</v>
      </c>
      <c r="T240" s="53">
        <f t="shared" si="175"/>
        <v>0</v>
      </c>
      <c r="U240" s="53">
        <f t="shared" si="175"/>
        <v>0</v>
      </c>
      <c r="V240" s="53">
        <f t="shared" si="175"/>
        <v>0</v>
      </c>
      <c r="W240" s="53">
        <f>W237-W239</f>
        <v>134578.71219233377</v>
      </c>
      <c r="X240" s="210">
        <f>X237-X239</f>
        <v>234723.54324938357</v>
      </c>
      <c r="Y240" s="292">
        <f>AVERAGE(L237:P237)/AVERAGE(L239:P239)</f>
        <v>1.0417070892302434</v>
      </c>
      <c r="Z240" s="293"/>
      <c r="AA240" s="3"/>
      <c r="AB240" s="3"/>
      <c r="AC240" s="3"/>
      <c r="AD240" s="3"/>
      <c r="AE240" s="3"/>
      <c r="AF240" s="3"/>
      <c r="AG240" s="3"/>
      <c r="AH240" s="3"/>
    </row>
    <row r="241" spans="1:34" x14ac:dyDescent="0.3">
      <c r="A241" s="18"/>
      <c r="B241" s="203" t="s">
        <v>298</v>
      </c>
      <c r="C241" s="18">
        <f>C240*'besoin alim animale'!$F$37</f>
        <v>149437.02748755467</v>
      </c>
      <c r="D241" s="203">
        <f>D240*'besoin alim animale'!$F$37</f>
        <v>156316.19745058287</v>
      </c>
      <c r="E241" s="203">
        <f>E240*'besoin alim animale'!$F$37</f>
        <v>99859.860969169458</v>
      </c>
      <c r="F241" s="203">
        <f>F240*'besoin alim animale'!$F$37</f>
        <v>83456.057111629692</v>
      </c>
      <c r="G241" s="203">
        <f>G240*'besoin alim animale'!$F$37</f>
        <v>41164.521552355349</v>
      </c>
      <c r="H241" s="203">
        <f>H240*'besoin alim animale'!$F$37</f>
        <v>21609.53725046631</v>
      </c>
      <c r="I241" s="203">
        <f>I240*'besoin alim animale'!$F$37</f>
        <v>65912.087650735542</v>
      </c>
      <c r="J241" s="203">
        <f>J240*'besoin alim animale'!$F$37</f>
        <v>58763.659415000846</v>
      </c>
      <c r="K241" s="203">
        <f>K240*'besoin alim animale'!$F$37</f>
        <v>47643.73539272973</v>
      </c>
      <c r="L241" s="203">
        <f>L240*'besoin alim animale'!$F$37</f>
        <v>104102.55878400012</v>
      </c>
      <c r="M241" s="203">
        <f>M240*'besoin alim animale'!$F$37</f>
        <v>114169.82183600009</v>
      </c>
      <c r="N241" s="203">
        <f>N240*'besoin alim animale'!$F$37</f>
        <v>128821.73294200008</v>
      </c>
      <c r="O241" s="203">
        <f>O240*'besoin alim animale'!$F$37</f>
        <v>45277.200401999798</v>
      </c>
      <c r="P241" s="203">
        <f>P240*'besoin alim animale'!$F$37</f>
        <v>30628.521531999897</v>
      </c>
      <c r="Q241" s="99"/>
      <c r="R241" s="99"/>
      <c r="S241" s="209"/>
      <c r="T241" s="203"/>
      <c r="U241" s="203"/>
      <c r="V241" s="99"/>
      <c r="W241" s="203">
        <f>W240*'besoin alim animale'!$F$37</f>
        <v>131887.1379484871</v>
      </c>
      <c r="X241" s="19">
        <f>X240*'besoin alim animale'!$F$37</f>
        <v>230029.0723843959</v>
      </c>
      <c r="Y241" s="175"/>
      <c r="Z241" s="25"/>
      <c r="AA241" s="4"/>
      <c r="AB241" s="4"/>
      <c r="AC241" s="4"/>
      <c r="AD241" s="4"/>
      <c r="AE241" s="4"/>
      <c r="AF241" s="4"/>
      <c r="AG241" s="4"/>
      <c r="AH241" s="4"/>
    </row>
    <row r="242" spans="1:34" x14ac:dyDescent="0.3">
      <c r="A242" s="16" t="s">
        <v>13</v>
      </c>
      <c r="B242" s="47" t="s">
        <v>3</v>
      </c>
      <c r="C242" s="234">
        <v>1818254.0368000001</v>
      </c>
      <c r="D242" s="237">
        <v>1830633.2840299997</v>
      </c>
      <c r="E242" s="237">
        <v>1802558.8172099998</v>
      </c>
      <c r="F242" s="237">
        <v>1779240.0445399999</v>
      </c>
      <c r="G242" s="237">
        <v>1835650.9121800002</v>
      </c>
      <c r="H242" s="237">
        <v>1848702.33082</v>
      </c>
      <c r="I242" s="237">
        <v>1813958.2514499999</v>
      </c>
      <c r="J242" s="237">
        <v>1761750.2451000002</v>
      </c>
      <c r="K242" s="237">
        <v>1742027.9893600002</v>
      </c>
      <c r="L242" s="237">
        <v>1759039.64622</v>
      </c>
      <c r="M242" s="237">
        <v>1716193.6158699999</v>
      </c>
      <c r="N242" s="237">
        <v>1687088.9439300001</v>
      </c>
      <c r="O242" s="237">
        <v>1478560.3335599997</v>
      </c>
      <c r="P242" s="237">
        <v>1514328</v>
      </c>
      <c r="Q242" s="248"/>
      <c r="R242" s="248"/>
      <c r="S242" s="249"/>
      <c r="T242" s="244"/>
      <c r="U242" s="254"/>
      <c r="V242" s="248"/>
      <c r="W242" s="54">
        <f>AVERAGE(N242:P242)*(1+'Hypothèses production'!$B$9)</f>
        <v>1559992.4258299998</v>
      </c>
      <c r="X242" s="13">
        <f>W242</f>
        <v>1559992.4258299998</v>
      </c>
      <c r="Y242" s="13"/>
      <c r="Z242" s="104"/>
      <c r="AA242" s="7"/>
      <c r="AB242" s="7"/>
      <c r="AC242" s="7"/>
      <c r="AD242" s="7"/>
      <c r="AE242" s="7"/>
      <c r="AF242" s="7"/>
      <c r="AG242" s="7"/>
      <c r="AH242" s="7"/>
    </row>
    <row r="243" spans="1:34" x14ac:dyDescent="0.3">
      <c r="A243" s="14" t="s">
        <v>16</v>
      </c>
      <c r="B243" s="48" t="s">
        <v>296</v>
      </c>
      <c r="C243" s="14">
        <f>'Calcul R84'!C23</f>
        <v>23.830904600132801</v>
      </c>
      <c r="D243" s="48">
        <f>'Calcul R84'!D23</f>
        <v>22.926894486087189</v>
      </c>
      <c r="E243" s="48">
        <f>'Calcul R84'!E23</f>
        <v>23.830904600132811</v>
      </c>
      <c r="F243" s="48">
        <f>'Calcul R84'!F23</f>
        <v>24.064796374925809</v>
      </c>
      <c r="G243" s="48">
        <f>'Calcul R84'!G23</f>
        <v>24.693539695474367</v>
      </c>
      <c r="H243" s="48">
        <f>'Calcul R84'!H23</f>
        <v>25.493241536448537</v>
      </c>
      <c r="I243" s="48">
        <f>'Calcul R84'!I23</f>
        <v>25.825893721690601</v>
      </c>
      <c r="J243" s="48">
        <f>'Calcul R84'!J23</f>
        <v>26.256204250860648</v>
      </c>
      <c r="K243" s="48">
        <f>'Calcul R84'!K23</f>
        <v>28</v>
      </c>
      <c r="L243" s="48">
        <f>'Calcul R84'!L23</f>
        <v>28.4</v>
      </c>
      <c r="M243" s="48">
        <f>'Calcul R84'!M23</f>
        <v>28.4</v>
      </c>
      <c r="N243" s="48">
        <f>'Calcul R84'!N23</f>
        <v>28.3</v>
      </c>
      <c r="O243" s="48">
        <f>'Calcul R84'!O23</f>
        <v>27.9</v>
      </c>
      <c r="P243" s="48">
        <f>'Calcul R84'!P23</f>
        <v>29</v>
      </c>
      <c r="Q243" s="48">
        <f>'Calcul R84'!Q23</f>
        <v>0</v>
      </c>
      <c r="R243" s="48">
        <f>'Calcul R84'!R23</f>
        <v>0</v>
      </c>
      <c r="S243" s="48">
        <f>'Calcul R84'!S23</f>
        <v>0</v>
      </c>
      <c r="T243" s="48">
        <f>'Calcul R84'!T23</f>
        <v>0</v>
      </c>
      <c r="U243" s="48">
        <f>'Calcul R84'!U23</f>
        <v>0</v>
      </c>
      <c r="V243" s="48">
        <f>'Calcul R84'!V23</f>
        <v>0</v>
      </c>
      <c r="W243" s="48">
        <f>'Calcul R84'!W23</f>
        <v>28</v>
      </c>
      <c r="X243" s="15">
        <f>'Calcul R84'!X23</f>
        <v>26.599999999999998</v>
      </c>
      <c r="Y243" s="15"/>
      <c r="Z243" s="14"/>
      <c r="AA243" s="7"/>
      <c r="AB243" s="7"/>
      <c r="AC243" s="7"/>
      <c r="AD243" s="7"/>
      <c r="AE243" s="7"/>
      <c r="AF243" s="7"/>
      <c r="AG243" s="7"/>
      <c r="AH243" s="7"/>
    </row>
    <row r="244" spans="1:34" x14ac:dyDescent="0.3">
      <c r="A244" s="16"/>
      <c r="B244" s="47" t="s">
        <v>297</v>
      </c>
      <c r="C244" s="16">
        <f t="shared" ref="C244:O244" si="176">C243*C105/1000</f>
        <v>1495752.3274899162</v>
      </c>
      <c r="D244" s="47">
        <f t="shared" si="176"/>
        <v>1446007.1220892223</v>
      </c>
      <c r="E244" s="47">
        <f t="shared" si="176"/>
        <v>1510306.7188417837</v>
      </c>
      <c r="F244" s="47">
        <f t="shared" si="176"/>
        <v>1532876.1507425136</v>
      </c>
      <c r="G244" s="47">
        <f t="shared" si="176"/>
        <v>1581076.9224931656</v>
      </c>
      <c r="H244" s="47">
        <f t="shared" si="176"/>
        <v>1639236.3607449424</v>
      </c>
      <c r="I244" s="47">
        <f t="shared" si="176"/>
        <v>1664964.1705577772</v>
      </c>
      <c r="J244" s="47">
        <f t="shared" si="176"/>
        <v>1697178.2786465469</v>
      </c>
      <c r="K244" s="47">
        <f t="shared" si="176"/>
        <v>1815633.0360000001</v>
      </c>
      <c r="L244" s="47">
        <f t="shared" si="176"/>
        <v>1848748.2111999998</v>
      </c>
      <c r="M244" s="47">
        <f t="shared" si="176"/>
        <v>1853643.9735999999</v>
      </c>
      <c r="N244" s="47">
        <f t="shared" si="176"/>
        <v>1853797.5279000001</v>
      </c>
      <c r="O244" s="47">
        <f t="shared" si="176"/>
        <v>1833639.0848999999</v>
      </c>
      <c r="P244" s="47">
        <f t="shared" ref="P244" si="177">P243*P105/1000</f>
        <v>1911852.8689999999</v>
      </c>
      <c r="Q244" s="47">
        <f t="shared" ref="Q244:V244" si="178">Q243*Q115/1000</f>
        <v>0</v>
      </c>
      <c r="R244" s="47">
        <f t="shared" si="178"/>
        <v>0</v>
      </c>
      <c r="S244" s="47">
        <f t="shared" si="178"/>
        <v>0</v>
      </c>
      <c r="T244" s="47">
        <f t="shared" si="178"/>
        <v>0</v>
      </c>
      <c r="U244" s="47">
        <f t="shared" si="178"/>
        <v>0</v>
      </c>
      <c r="V244" s="47">
        <f t="shared" si="178"/>
        <v>0</v>
      </c>
      <c r="W244" s="47">
        <f>W243*W105/1000</f>
        <v>1869370.1797315998</v>
      </c>
      <c r="X244" s="17">
        <f>X243*X105/1000</f>
        <v>1775901.6707450196</v>
      </c>
      <c r="Y244" s="17"/>
      <c r="Z244" s="16"/>
      <c r="AA244" s="7"/>
      <c r="AB244" s="7"/>
      <c r="AC244" s="7"/>
      <c r="AD244" s="7"/>
      <c r="AE244" s="7"/>
      <c r="AF244" s="7"/>
      <c r="AG244" s="7"/>
      <c r="AH244" s="7"/>
    </row>
    <row r="245" spans="1:34" x14ac:dyDescent="0.3">
      <c r="A245" s="16"/>
      <c r="B245" s="53" t="s">
        <v>300</v>
      </c>
      <c r="C245" s="58">
        <f t="shared" ref="C245:O245" si="179">C242-C244</f>
        <v>322501.70931008388</v>
      </c>
      <c r="D245" s="53">
        <f t="shared" si="179"/>
        <v>384626.16194077744</v>
      </c>
      <c r="E245" s="53">
        <f t="shared" si="179"/>
        <v>292252.09836821607</v>
      </c>
      <c r="F245" s="53">
        <f t="shared" si="179"/>
        <v>246363.89379748632</v>
      </c>
      <c r="G245" s="53">
        <f t="shared" si="179"/>
        <v>254573.98968683463</v>
      </c>
      <c r="H245" s="53">
        <f t="shared" si="179"/>
        <v>209465.97007505759</v>
      </c>
      <c r="I245" s="53">
        <f t="shared" si="179"/>
        <v>148994.0808922227</v>
      </c>
      <c r="J245" s="53">
        <f t="shared" si="179"/>
        <v>64571.966453453293</v>
      </c>
      <c r="K245" s="53">
        <f t="shared" si="179"/>
        <v>-73605.04663999984</v>
      </c>
      <c r="L245" s="53">
        <f t="shared" si="179"/>
        <v>-89708.564979999792</v>
      </c>
      <c r="M245" s="53">
        <f t="shared" si="179"/>
        <v>-137450.35773000005</v>
      </c>
      <c r="N245" s="53">
        <f t="shared" si="179"/>
        <v>-166708.58397000004</v>
      </c>
      <c r="O245" s="53">
        <f t="shared" si="179"/>
        <v>-355078.75134000019</v>
      </c>
      <c r="P245" s="53">
        <f t="shared" ref="P245:V245" si="180">P242-P244</f>
        <v>-397524.86899999995</v>
      </c>
      <c r="Q245" s="53">
        <f t="shared" si="180"/>
        <v>0</v>
      </c>
      <c r="R245" s="53">
        <f t="shared" si="180"/>
        <v>0</v>
      </c>
      <c r="S245" s="53">
        <f t="shared" si="180"/>
        <v>0</v>
      </c>
      <c r="T245" s="53">
        <f t="shared" si="180"/>
        <v>0</v>
      </c>
      <c r="U245" s="53">
        <f t="shared" si="180"/>
        <v>0</v>
      </c>
      <c r="V245" s="53">
        <f t="shared" si="180"/>
        <v>0</v>
      </c>
      <c r="W245" s="53">
        <f>W242-W244</f>
        <v>-309377.75390159991</v>
      </c>
      <c r="X245" s="210">
        <f>X242-X244</f>
        <v>-215909.24491501972</v>
      </c>
      <c r="Y245" s="292">
        <f>AVERAGE(L242:P242)/AVERAGE(L244:P244)</f>
        <v>0.87674582208755969</v>
      </c>
      <c r="Z245" s="294"/>
      <c r="AA245" s="3"/>
      <c r="AB245" s="3"/>
      <c r="AC245" s="3"/>
      <c r="AD245" s="3"/>
      <c r="AE245" s="3"/>
      <c r="AF245" s="3"/>
      <c r="AG245" s="3"/>
      <c r="AH245" s="3"/>
    </row>
    <row r="246" spans="1:34" x14ac:dyDescent="0.3">
      <c r="A246" s="18"/>
      <c r="B246" s="203" t="s">
        <v>298</v>
      </c>
      <c r="C246" s="18">
        <f>C245*'besoin alim animale'!$E$37</f>
        <v>148350.78628263858</v>
      </c>
      <c r="D246" s="203">
        <f>D245*'besoin alim animale'!$E$37</f>
        <v>176928.03449275764</v>
      </c>
      <c r="E246" s="203">
        <f>E245*'besoin alim animale'!$E$37</f>
        <v>134435.9652493794</v>
      </c>
      <c r="F246" s="203">
        <f>F245*'besoin alim animale'!$E$37</f>
        <v>113327.39114684371</v>
      </c>
      <c r="G246" s="203">
        <f>G245*'besoin alim animale'!$E$37</f>
        <v>117104.03525594393</v>
      </c>
      <c r="H246" s="203">
        <f>H245*'besoin alim animale'!$E$37</f>
        <v>96354.3462345265</v>
      </c>
      <c r="I246" s="203">
        <f>I245*'besoin alim animale'!$E$37</f>
        <v>68537.277210422442</v>
      </c>
      <c r="J246" s="203">
        <f>J245*'besoin alim animale'!$E$37</f>
        <v>29703.104568588515</v>
      </c>
      <c r="K246" s="203">
        <f>K245*'besoin alim animale'!$E$37</f>
        <v>-33858.321454399927</v>
      </c>
      <c r="L246" s="203">
        <f>L245*'besoin alim animale'!$E$37</f>
        <v>-41265.939890799906</v>
      </c>
      <c r="M246" s="203">
        <f>M245*'besoin alim animale'!$E$37</f>
        <v>-63227.164555800024</v>
      </c>
      <c r="N246" s="203">
        <f>N245*'besoin alim animale'!$E$37</f>
        <v>-76685.948626200014</v>
      </c>
      <c r="O246" s="203">
        <f>O245*'besoin alim animale'!$E$37</f>
        <v>-163336.2256164001</v>
      </c>
      <c r="P246" s="203">
        <f>P245*'besoin alim animale'!$E$37</f>
        <v>-182861.43973999997</v>
      </c>
      <c r="Q246" s="99"/>
      <c r="R246" s="99"/>
      <c r="S246" s="209"/>
      <c r="T246" s="203"/>
      <c r="U246" s="203"/>
      <c r="V246" s="99"/>
      <c r="W246" s="203">
        <f>W245*'besoin alim animale'!$E$37</f>
        <v>-142313.76679473597</v>
      </c>
      <c r="X246" s="19">
        <f>X245*'besoin alim animale'!$E$37</f>
        <v>-99318.252660909071</v>
      </c>
      <c r="Y246" s="295"/>
      <c r="Z246" s="296"/>
      <c r="AA246" s="4"/>
      <c r="AB246" s="4"/>
      <c r="AC246" s="4"/>
      <c r="AD246" s="4"/>
      <c r="AE246" s="4"/>
      <c r="AF246" s="4"/>
      <c r="AG246" s="4"/>
      <c r="AH246" s="4"/>
    </row>
    <row r="247" spans="1:34" x14ac:dyDescent="0.3">
      <c r="A247" s="12" t="s">
        <v>13</v>
      </c>
      <c r="B247" s="54" t="s">
        <v>3</v>
      </c>
      <c r="C247" s="234">
        <v>129968</v>
      </c>
      <c r="D247" s="237">
        <v>128171</v>
      </c>
      <c r="E247" s="237">
        <v>129037</v>
      </c>
      <c r="F247" s="237">
        <v>127209</v>
      </c>
      <c r="G247" s="237">
        <v>127824</v>
      </c>
      <c r="H247" s="237">
        <v>126655</v>
      </c>
      <c r="I247" s="237">
        <v>126255</v>
      </c>
      <c r="J247" s="237">
        <v>123771</v>
      </c>
      <c r="K247" s="237">
        <v>126145</v>
      </c>
      <c r="L247" s="237">
        <v>124870</v>
      </c>
      <c r="M247" s="237">
        <v>124465</v>
      </c>
      <c r="N247" s="237">
        <v>125223</v>
      </c>
      <c r="O247" s="237">
        <v>120585</v>
      </c>
      <c r="P247" s="237">
        <v>120372</v>
      </c>
      <c r="Q247" s="248"/>
      <c r="R247" s="248"/>
      <c r="S247" s="249"/>
      <c r="T247" s="244"/>
      <c r="U247" s="254"/>
      <c r="V247" s="248"/>
      <c r="W247" s="54">
        <f>AVERAGE(N247:P247)*(1+'Hypothèses production'!$B$8)</f>
        <v>122060</v>
      </c>
      <c r="X247" s="13">
        <f>W247</f>
        <v>122060</v>
      </c>
      <c r="Y247" s="223"/>
      <c r="Z247" s="104"/>
      <c r="AA247" s="7"/>
      <c r="AB247" s="7"/>
      <c r="AC247" s="7"/>
      <c r="AD247" s="7"/>
      <c r="AE247" s="7"/>
      <c r="AF247" s="7"/>
      <c r="AG247" s="7"/>
      <c r="AH247" s="7"/>
    </row>
    <row r="248" spans="1:34" x14ac:dyDescent="0.3">
      <c r="A248" s="14" t="s">
        <v>17</v>
      </c>
      <c r="B248" s="48" t="s">
        <v>296</v>
      </c>
      <c r="C248" s="14">
        <f>'Calcul R84'!C24</f>
        <v>3.0197402368782718</v>
      </c>
      <c r="D248" s="48">
        <f>'Calcul R84'!D24</f>
        <v>2.914114208439623</v>
      </c>
      <c r="E248" s="48">
        <f>'Calcul R84'!E24</f>
        <v>2.8286457893609862</v>
      </c>
      <c r="F248" s="48">
        <f>'Calcul R84'!F24</f>
        <v>2.7220656074510337</v>
      </c>
      <c r="G248" s="48">
        <f>'Calcul R84'!G24</f>
        <v>2.7036986735479198</v>
      </c>
      <c r="H248" s="48">
        <f>'Calcul R84'!H24</f>
        <v>2.5722331142560653</v>
      </c>
      <c r="I248" s="48">
        <f>'Calcul R84'!I24</f>
        <v>2.4952831088580254</v>
      </c>
      <c r="J248" s="48">
        <f>'Calcul R84'!J24</f>
        <v>2.4574457715910807</v>
      </c>
      <c r="K248" s="48">
        <f>'Calcul R84'!K24</f>
        <v>2.5</v>
      </c>
      <c r="L248" s="48">
        <f>'Calcul R84'!L24</f>
        <v>2.5</v>
      </c>
      <c r="M248" s="48">
        <f>'Calcul R84'!M24</f>
        <v>2.2999999999999998</v>
      </c>
      <c r="N248" s="48">
        <f>'Calcul R84'!N24</f>
        <v>2.27</v>
      </c>
      <c r="O248" s="48">
        <f>'Calcul R84'!O24</f>
        <v>2.2000000000000002</v>
      </c>
      <c r="P248" s="48">
        <f>'Calcul R84'!P24</f>
        <v>2.2000000000000002</v>
      </c>
      <c r="Q248" s="48">
        <f>'Calcul R84'!Q24</f>
        <v>0</v>
      </c>
      <c r="R248" s="48">
        <f>'Calcul R84'!R24</f>
        <v>0</v>
      </c>
      <c r="S248" s="48">
        <f>'Calcul R84'!S24</f>
        <v>0</v>
      </c>
      <c r="T248" s="48">
        <f>'Calcul R84'!T24</f>
        <v>0</v>
      </c>
      <c r="U248" s="48">
        <f>'Calcul R84'!U24</f>
        <v>0</v>
      </c>
      <c r="V248" s="48">
        <f>'Calcul R84'!V24</f>
        <v>0</v>
      </c>
      <c r="W248" s="48">
        <f>'Calcul R84'!W24</f>
        <v>2</v>
      </c>
      <c r="X248" s="15">
        <f>'Calcul R84'!X24</f>
        <v>1.8</v>
      </c>
      <c r="Y248" s="225"/>
      <c r="Z248" s="14"/>
      <c r="AA248" s="7"/>
      <c r="AB248" s="7"/>
      <c r="AC248" s="7"/>
      <c r="AD248" s="7"/>
      <c r="AE248" s="7"/>
      <c r="AF248" s="7"/>
      <c r="AG248" s="7"/>
      <c r="AH248" s="7"/>
    </row>
    <row r="249" spans="1:34" x14ac:dyDescent="0.3">
      <c r="A249" s="16" t="s">
        <v>18</v>
      </c>
      <c r="B249" s="47" t="s">
        <v>297</v>
      </c>
      <c r="C249" s="16">
        <f t="shared" ref="C249:O249" si="181">C248*C105/1000</f>
        <v>189534.70560662041</v>
      </c>
      <c r="D249" s="47">
        <f t="shared" si="181"/>
        <v>183794.18558157474</v>
      </c>
      <c r="E249" s="47">
        <f t="shared" si="181"/>
        <v>179268.17351581398</v>
      </c>
      <c r="F249" s="47">
        <f t="shared" si="181"/>
        <v>173389.76758455893</v>
      </c>
      <c r="G249" s="47">
        <f t="shared" si="181"/>
        <v>173112.30511458192</v>
      </c>
      <c r="H249" s="47">
        <f t="shared" si="181"/>
        <v>165396.70105005181</v>
      </c>
      <c r="I249" s="47">
        <f t="shared" si="181"/>
        <v>160867.88772608139</v>
      </c>
      <c r="J249" s="47">
        <f t="shared" si="181"/>
        <v>158847.16407016348</v>
      </c>
      <c r="K249" s="47">
        <f t="shared" si="181"/>
        <v>162110.0925</v>
      </c>
      <c r="L249" s="47">
        <f t="shared" si="181"/>
        <v>162741.92000000001</v>
      </c>
      <c r="M249" s="47">
        <f t="shared" si="181"/>
        <v>150119.05419999998</v>
      </c>
      <c r="N249" s="47">
        <f t="shared" si="181"/>
        <v>148696.83351</v>
      </c>
      <c r="O249" s="47">
        <f t="shared" si="181"/>
        <v>144588.02820000003</v>
      </c>
      <c r="P249" s="47">
        <f t="shared" ref="P249" si="182">P248*P105/1000</f>
        <v>145037.11420000001</v>
      </c>
      <c r="Q249" s="47">
        <f t="shared" ref="Q249:V249" si="183">Q248*Q120/1000</f>
        <v>0</v>
      </c>
      <c r="R249" s="47">
        <f t="shared" si="183"/>
        <v>0</v>
      </c>
      <c r="S249" s="47">
        <f t="shared" si="183"/>
        <v>0</v>
      </c>
      <c r="T249" s="47">
        <f t="shared" si="183"/>
        <v>0</v>
      </c>
      <c r="U249" s="47">
        <f t="shared" si="183"/>
        <v>0</v>
      </c>
      <c r="V249" s="47">
        <f t="shared" si="183"/>
        <v>0</v>
      </c>
      <c r="W249" s="47">
        <f>W248*W105/1000</f>
        <v>133526.44140939999</v>
      </c>
      <c r="X249" s="17">
        <f>X248*X105/1000</f>
        <v>120173.79726846</v>
      </c>
      <c r="Y249" s="206"/>
      <c r="Z249" s="16"/>
      <c r="AA249" s="7"/>
      <c r="AB249" s="7"/>
      <c r="AC249" s="7"/>
      <c r="AD249" s="7"/>
      <c r="AE249" s="7"/>
      <c r="AF249" s="7"/>
      <c r="AG249" s="7"/>
      <c r="AH249" s="7"/>
    </row>
    <row r="250" spans="1:34" x14ac:dyDescent="0.3">
      <c r="A250" s="16"/>
      <c r="B250" s="53" t="s">
        <v>300</v>
      </c>
      <c r="C250" s="58">
        <f t="shared" ref="C250:O250" si="184">C247-C249</f>
        <v>-59566.70560662041</v>
      </c>
      <c r="D250" s="53">
        <f t="shared" si="184"/>
        <v>-55623.18558157474</v>
      </c>
      <c r="E250" s="53">
        <f t="shared" si="184"/>
        <v>-50231.173515813978</v>
      </c>
      <c r="F250" s="53">
        <f t="shared" si="184"/>
        <v>-46180.767584558926</v>
      </c>
      <c r="G250" s="53">
        <f t="shared" si="184"/>
        <v>-45288.305114581919</v>
      </c>
      <c r="H250" s="53">
        <f t="shared" si="184"/>
        <v>-38741.701050051808</v>
      </c>
      <c r="I250" s="53">
        <f t="shared" si="184"/>
        <v>-34612.88772608139</v>
      </c>
      <c r="J250" s="53">
        <f t="shared" si="184"/>
        <v>-35076.164070163475</v>
      </c>
      <c r="K250" s="53">
        <f t="shared" si="184"/>
        <v>-35965.092499999999</v>
      </c>
      <c r="L250" s="53">
        <f t="shared" si="184"/>
        <v>-37871.920000000013</v>
      </c>
      <c r="M250" s="53">
        <f t="shared" si="184"/>
        <v>-25654.054199999984</v>
      </c>
      <c r="N250" s="53">
        <f t="shared" si="184"/>
        <v>-23473.833509999997</v>
      </c>
      <c r="O250" s="53">
        <f t="shared" si="184"/>
        <v>-24003.02820000003</v>
      </c>
      <c r="P250" s="53">
        <f t="shared" ref="P250:V250" si="185">P247-P249</f>
        <v>-24665.114200000011</v>
      </c>
      <c r="Q250" s="53">
        <f t="shared" si="185"/>
        <v>0</v>
      </c>
      <c r="R250" s="53">
        <f t="shared" si="185"/>
        <v>0</v>
      </c>
      <c r="S250" s="53">
        <f t="shared" si="185"/>
        <v>0</v>
      </c>
      <c r="T250" s="53">
        <f t="shared" si="185"/>
        <v>0</v>
      </c>
      <c r="U250" s="53">
        <f t="shared" si="185"/>
        <v>0</v>
      </c>
      <c r="V250" s="53">
        <f t="shared" si="185"/>
        <v>0</v>
      </c>
      <c r="W250" s="53">
        <f>W247-W249</f>
        <v>-11466.441409399995</v>
      </c>
      <c r="X250" s="210">
        <f>X247-X249</f>
        <v>1886.2027315400046</v>
      </c>
      <c r="Y250" s="292">
        <f>AVERAGE(L247:P247)/AVERAGE(L249:P249)</f>
        <v>0.81939426328814646</v>
      </c>
      <c r="Z250" s="294"/>
      <c r="AA250" s="3"/>
      <c r="AB250" s="3"/>
      <c r="AC250" s="3"/>
      <c r="AD250" s="3"/>
      <c r="AE250" s="3"/>
      <c r="AF250" s="3"/>
      <c r="AG250" s="3"/>
      <c r="AH250" s="3"/>
    </row>
    <row r="251" spans="1:34" x14ac:dyDescent="0.3">
      <c r="A251" s="205"/>
      <c r="B251" s="181" t="s">
        <v>298</v>
      </c>
      <c r="C251" s="205">
        <f>C250*'besoin alim animale'!$D$37</f>
        <v>-146288.03619296136</v>
      </c>
      <c r="D251" s="181">
        <f>D250*'besoin alim animale'!$D$37</f>
        <v>-136603.26691998294</v>
      </c>
      <c r="E251" s="181">
        <f>E250*'besoin alim animale'!$D$37</f>
        <v>-123361.19069307094</v>
      </c>
      <c r="F251" s="181">
        <f>F250*'besoin alim animale'!$D$37</f>
        <v>-113413.92361772391</v>
      </c>
      <c r="G251" s="181">
        <f>G250*'besoin alim animale'!$D$37</f>
        <v>-111222.15254730322</v>
      </c>
      <c r="H251" s="181">
        <f>H250*'besoin alim animale'!$D$37</f>
        <v>-95144.549420187715</v>
      </c>
      <c r="I251" s="181">
        <f>I250*'besoin alim animale'!$D$37</f>
        <v>-85004.724045929717</v>
      </c>
      <c r="J251" s="181">
        <f>J250*'besoin alim animale'!$D$37</f>
        <v>-86142.470139158191</v>
      </c>
      <c r="K251" s="181">
        <f>K250*'besoin alim animale'!$D$37</f>
        <v>-88325.562069332431</v>
      </c>
      <c r="L251" s="181">
        <f>L250*'besoin alim animale'!$D$37</f>
        <v>-93008.48094982082</v>
      </c>
      <c r="M251" s="181">
        <f>M250*'besoin alim animale'!$D$37</f>
        <v>-63003.000939650497</v>
      </c>
      <c r="N251" s="181">
        <f>N250*'besoin alim animale'!$D$37</f>
        <v>-57648.664151014775</v>
      </c>
      <c r="O251" s="181">
        <f>O250*'besoin alim animale'!$D$37</f>
        <v>-58948.297078091469</v>
      </c>
      <c r="P251" s="181">
        <f>P250*'besoin alim animale'!$D$37</f>
        <v>-60574.293677105765</v>
      </c>
      <c r="Q251" s="160"/>
      <c r="R251" s="160"/>
      <c r="S251" s="71"/>
      <c r="T251" s="181"/>
      <c r="U251" s="181"/>
      <c r="V251" s="160"/>
      <c r="W251" s="181">
        <f>W250*'besoin alim animale'!$D$37</f>
        <v>-28160.080011481215</v>
      </c>
      <c r="X251" s="206">
        <f>X250*'besoin alim animale'!$D$37</f>
        <v>4632.2671473729997</v>
      </c>
      <c r="Y251" s="551"/>
      <c r="Z251" s="296"/>
      <c r="AA251" s="4"/>
      <c r="AB251" s="4"/>
      <c r="AC251" s="4"/>
      <c r="AD251" s="4"/>
      <c r="AE251" s="4"/>
      <c r="AF251" s="4"/>
      <c r="AG251" s="4"/>
      <c r="AH251" s="4"/>
    </row>
    <row r="252" spans="1:34" s="389" customFormat="1" x14ac:dyDescent="0.3">
      <c r="A252" s="233"/>
      <c r="B252" s="247" t="s">
        <v>433</v>
      </c>
      <c r="C252" s="418">
        <v>13005117</v>
      </c>
      <c r="D252" s="244">
        <v>12272036</v>
      </c>
      <c r="E252" s="244">
        <v>12435935</v>
      </c>
      <c r="F252" s="244">
        <v>14178630</v>
      </c>
      <c r="G252" s="244">
        <v>14393266</v>
      </c>
      <c r="H252" s="244">
        <v>14949246</v>
      </c>
      <c r="I252" s="244">
        <v>14818774</v>
      </c>
      <c r="J252" s="244">
        <v>15301490</v>
      </c>
      <c r="K252" s="244">
        <v>14819109</v>
      </c>
      <c r="L252" s="244">
        <v>14572210</v>
      </c>
      <c r="M252" s="244">
        <v>14803866</v>
      </c>
      <c r="N252" s="244">
        <v>15396478</v>
      </c>
      <c r="O252" s="244">
        <v>15479469</v>
      </c>
      <c r="P252" s="244">
        <v>14006700</v>
      </c>
      <c r="Q252" s="444"/>
      <c r="R252" s="444"/>
      <c r="S252" s="445"/>
      <c r="T252" s="244"/>
      <c r="U252" s="244"/>
      <c r="V252" s="444"/>
      <c r="W252" s="54">
        <f>AVERAGE(N252:P252)*(1+'Hypothèses production'!$B$10)</f>
        <v>14960882.333333334</v>
      </c>
      <c r="X252" s="247">
        <f>W252</f>
        <v>14960882.333333334</v>
      </c>
      <c r="Y252" s="460"/>
      <c r="Z252" s="547"/>
      <c r="AA252" s="8"/>
      <c r="AB252" s="8"/>
      <c r="AC252" s="8"/>
      <c r="AD252" s="8"/>
      <c r="AE252" s="8"/>
      <c r="AF252" s="8"/>
      <c r="AG252" s="8"/>
      <c r="AH252" s="8"/>
    </row>
    <row r="253" spans="1:34" x14ac:dyDescent="0.3">
      <c r="A253" s="16" t="s">
        <v>432</v>
      </c>
      <c r="B253" s="47" t="s">
        <v>3</v>
      </c>
      <c r="C253" s="58">
        <f t="shared" ref="C253:V253" si="186">C252*$A$255</f>
        <v>806317.25399999996</v>
      </c>
      <c r="D253" s="53">
        <f t="shared" si="186"/>
        <v>760866.23199999996</v>
      </c>
      <c r="E253" s="53">
        <f t="shared" si="186"/>
        <v>771027.97</v>
      </c>
      <c r="F253" s="53">
        <f t="shared" si="186"/>
        <v>879075.05999999994</v>
      </c>
      <c r="G253" s="53">
        <f t="shared" si="186"/>
        <v>892382.49199999997</v>
      </c>
      <c r="H253" s="53">
        <f t="shared" si="186"/>
        <v>926853.25199999998</v>
      </c>
      <c r="I253" s="53">
        <f t="shared" si="186"/>
        <v>918763.98800000001</v>
      </c>
      <c r="J253" s="53">
        <f t="shared" si="186"/>
        <v>948692.38</v>
      </c>
      <c r="K253" s="53">
        <f t="shared" si="186"/>
        <v>918784.75800000003</v>
      </c>
      <c r="L253" s="53">
        <f t="shared" si="186"/>
        <v>903477.02</v>
      </c>
      <c r="M253" s="53">
        <f t="shared" si="186"/>
        <v>917839.69200000004</v>
      </c>
      <c r="N253" s="53">
        <f t="shared" si="186"/>
        <v>954581.63599999994</v>
      </c>
      <c r="O253" s="53">
        <f t="shared" si="186"/>
        <v>959727.07799999998</v>
      </c>
      <c r="P253" s="53">
        <f t="shared" si="186"/>
        <v>868415.4</v>
      </c>
      <c r="Q253" s="53">
        <f t="shared" si="186"/>
        <v>0</v>
      </c>
      <c r="R253" s="53">
        <f t="shared" si="186"/>
        <v>0</v>
      </c>
      <c r="S253" s="53">
        <f t="shared" si="186"/>
        <v>0</v>
      </c>
      <c r="T253" s="53">
        <f t="shared" si="186"/>
        <v>0</v>
      </c>
      <c r="U253" s="53">
        <f t="shared" si="186"/>
        <v>0</v>
      </c>
      <c r="V253" s="53">
        <f t="shared" si="186"/>
        <v>0</v>
      </c>
      <c r="W253" s="47">
        <f>AVERAGE(N253:P253)*(1+'Hypothèses production'!$B$10)</f>
        <v>927574.70466666669</v>
      </c>
      <c r="X253" s="47">
        <f>W253</f>
        <v>927574.70466666669</v>
      </c>
      <c r="Y253" s="552"/>
      <c r="Z253" s="548"/>
      <c r="AA253" s="7"/>
      <c r="AB253" s="7"/>
      <c r="AC253" s="7"/>
      <c r="AD253" s="7"/>
      <c r="AE253" s="7"/>
      <c r="AF253" s="7"/>
      <c r="AG253" s="7"/>
      <c r="AH253" s="7"/>
    </row>
    <row r="254" spans="1:34" x14ac:dyDescent="0.3">
      <c r="A254" s="16" t="s">
        <v>431</v>
      </c>
      <c r="B254" s="48" t="s">
        <v>296</v>
      </c>
      <c r="C254" s="14">
        <f>'Calcul R84'!C25</f>
        <v>13.524617785779524</v>
      </c>
      <c r="D254" s="48">
        <f>'Calcul R84'!D25</f>
        <v>12.171288343897722</v>
      </c>
      <c r="E254" s="48">
        <f>'Calcul R84'!E25</f>
        <v>12.220020914292707</v>
      </c>
      <c r="F254" s="48">
        <f>'Calcul R84'!F25</f>
        <v>13.513925733026769</v>
      </c>
      <c r="G254" s="48">
        <f>'Calcul R84'!G25</f>
        <v>13.213180431526251</v>
      </c>
      <c r="H254" s="48">
        <f>'Calcul R84'!H25</f>
        <v>13.408560330305036</v>
      </c>
      <c r="I254" s="48">
        <f>'Calcul R84'!I25</f>
        <v>13.120296814924522</v>
      </c>
      <c r="J254" s="48">
        <f>'Calcul R84'!J25</f>
        <v>13.731868665175201</v>
      </c>
      <c r="K254" s="48">
        <f>'Calcul R84'!K25</f>
        <v>13.276739605409077</v>
      </c>
      <c r="L254" s="48">
        <f>'Calcul R84'!L25</f>
        <v>12.8</v>
      </c>
      <c r="M254" s="48">
        <f>'Calcul R84'!M25</f>
        <v>14.1</v>
      </c>
      <c r="N254" s="48">
        <f>'Calcul R84'!N25</f>
        <v>14.2</v>
      </c>
      <c r="O254" s="48">
        <f>'Calcul R84'!O25</f>
        <v>14.5</v>
      </c>
      <c r="P254" s="48">
        <f>'Calcul R84'!P25</f>
        <v>15</v>
      </c>
      <c r="Q254" s="48">
        <f>'Calcul R84'!Q25</f>
        <v>0</v>
      </c>
      <c r="R254" s="48">
        <f>'Calcul R84'!R25</f>
        <v>0</v>
      </c>
      <c r="S254" s="48">
        <f>'Calcul R84'!S25</f>
        <v>0</v>
      </c>
      <c r="T254" s="48">
        <f>'Calcul R84'!T25</f>
        <v>0</v>
      </c>
      <c r="U254" s="48">
        <f>'Calcul R84'!U25</f>
        <v>0</v>
      </c>
      <c r="V254" s="48">
        <f>'Calcul R84'!V25</f>
        <v>0</v>
      </c>
      <c r="W254" s="48">
        <f>'Calcul R84'!W25</f>
        <v>15</v>
      </c>
      <c r="X254" s="48">
        <f>'Calcul R84'!X25</f>
        <v>14.7</v>
      </c>
      <c r="Y254" s="553"/>
      <c r="Z254" s="48"/>
      <c r="AA254" s="7"/>
      <c r="AB254" s="7"/>
      <c r="AC254" s="7"/>
      <c r="AD254" s="7"/>
      <c r="AE254" s="7"/>
      <c r="AF254" s="7"/>
      <c r="AG254" s="7"/>
      <c r="AH254" s="7"/>
    </row>
    <row r="255" spans="1:34" x14ac:dyDescent="0.3">
      <c r="A255" s="28">
        <v>6.2E-2</v>
      </c>
      <c r="B255" s="47" t="s">
        <v>297</v>
      </c>
      <c r="C255" s="16">
        <f t="shared" ref="C255:P255" si="187">C254*C105/1000</f>
        <v>848875.8136096315</v>
      </c>
      <c r="D255" s="47">
        <f t="shared" si="187"/>
        <v>767647.34277281968</v>
      </c>
      <c r="E255" s="47">
        <f t="shared" si="187"/>
        <v>774455.6910836082</v>
      </c>
      <c r="F255" s="47">
        <f t="shared" si="187"/>
        <v>860808.2169623652</v>
      </c>
      <c r="G255" s="47">
        <f t="shared" si="187"/>
        <v>846012.96171618463</v>
      </c>
      <c r="H255" s="47">
        <f t="shared" si="187"/>
        <v>862181.43766664504</v>
      </c>
      <c r="I255" s="47">
        <f t="shared" si="187"/>
        <v>845849.68633963156</v>
      </c>
      <c r="J255" s="47">
        <f t="shared" si="187"/>
        <v>887616.08498679218</v>
      </c>
      <c r="K255" s="47">
        <f t="shared" si="187"/>
        <v>860917.39421251148</v>
      </c>
      <c r="L255" s="47">
        <f t="shared" si="187"/>
        <v>833238.63040000014</v>
      </c>
      <c r="M255" s="47">
        <f t="shared" si="187"/>
        <v>920295.07140000002</v>
      </c>
      <c r="N255" s="47">
        <f t="shared" si="187"/>
        <v>930174.02459999989</v>
      </c>
      <c r="O255" s="47">
        <f t="shared" si="187"/>
        <v>952966.54949999996</v>
      </c>
      <c r="P255" s="47">
        <f t="shared" si="187"/>
        <v>988889.41500000004</v>
      </c>
      <c r="Q255" s="47">
        <f t="shared" ref="Q255:V255" si="188">Q254*Q125/1000</f>
        <v>0</v>
      </c>
      <c r="R255" s="47">
        <f t="shared" si="188"/>
        <v>0</v>
      </c>
      <c r="S255" s="47">
        <f t="shared" si="188"/>
        <v>0</v>
      </c>
      <c r="T255" s="47">
        <f t="shared" si="188"/>
        <v>0</v>
      </c>
      <c r="U255" s="47">
        <f t="shared" si="188"/>
        <v>0</v>
      </c>
      <c r="V255" s="47">
        <f t="shared" si="188"/>
        <v>0</v>
      </c>
      <c r="W255" s="47">
        <f>W254*W105/1000</f>
        <v>1001448.3105704999</v>
      </c>
      <c r="X255" s="47">
        <f>X254*X105/1000</f>
        <v>981419.34435908985</v>
      </c>
      <c r="Y255" s="552"/>
      <c r="Z255" s="47"/>
      <c r="AA255" s="7"/>
      <c r="AB255" s="7"/>
      <c r="AC255" s="7"/>
      <c r="AD255" s="7"/>
      <c r="AE255" s="7"/>
      <c r="AF255" s="7"/>
      <c r="AG255" s="7"/>
      <c r="AH255" s="7"/>
    </row>
    <row r="256" spans="1:34" x14ac:dyDescent="0.3">
      <c r="A256" s="24"/>
      <c r="B256" s="53" t="s">
        <v>300</v>
      </c>
      <c r="C256" s="58">
        <f t="shared" ref="C256:X256" si="189">C253-C255</f>
        <v>-42558.559609631542</v>
      </c>
      <c r="D256" s="53">
        <f t="shared" si="189"/>
        <v>-6781.1107728197239</v>
      </c>
      <c r="E256" s="53">
        <f t="shared" si="189"/>
        <v>-3427.7210836082231</v>
      </c>
      <c r="F256" s="53">
        <f t="shared" si="189"/>
        <v>18266.843037634739</v>
      </c>
      <c r="G256" s="53">
        <f t="shared" si="189"/>
        <v>46369.530283815344</v>
      </c>
      <c r="H256" s="53">
        <f t="shared" si="189"/>
        <v>64671.814333354938</v>
      </c>
      <c r="I256" s="53">
        <f t="shared" si="189"/>
        <v>72914.301660368452</v>
      </c>
      <c r="J256" s="53">
        <f t="shared" si="189"/>
        <v>61076.295013207826</v>
      </c>
      <c r="K256" s="53">
        <f t="shared" si="189"/>
        <v>57867.363787488546</v>
      </c>
      <c r="L256" s="53">
        <f t="shared" si="189"/>
        <v>70238.389599999879</v>
      </c>
      <c r="M256" s="53">
        <f t="shared" si="189"/>
        <v>-2455.3793999999762</v>
      </c>
      <c r="N256" s="53">
        <f t="shared" si="189"/>
        <v>24407.611400000053</v>
      </c>
      <c r="O256" s="53">
        <f t="shared" si="189"/>
        <v>6760.5285000000149</v>
      </c>
      <c r="P256" s="53">
        <f t="shared" si="189"/>
        <v>-120474.01500000001</v>
      </c>
      <c r="Q256" s="53">
        <f t="shared" si="189"/>
        <v>0</v>
      </c>
      <c r="R256" s="53">
        <f t="shared" si="189"/>
        <v>0</v>
      </c>
      <c r="S256" s="53">
        <f t="shared" si="189"/>
        <v>0</v>
      </c>
      <c r="T256" s="53">
        <f t="shared" si="189"/>
        <v>0</v>
      </c>
      <c r="U256" s="53">
        <f t="shared" si="189"/>
        <v>0</v>
      </c>
      <c r="V256" s="53">
        <f t="shared" si="189"/>
        <v>0</v>
      </c>
      <c r="W256" s="53">
        <f t="shared" si="189"/>
        <v>-73873.605903833173</v>
      </c>
      <c r="X256" s="53">
        <f t="shared" si="189"/>
        <v>-53844.639692423167</v>
      </c>
      <c r="Y256" s="434">
        <f>AVERAGE(L253:P253)/AVERAGE(L255:P255)</f>
        <v>0.99534697469578848</v>
      </c>
      <c r="Z256" s="549"/>
      <c r="AA256" s="3"/>
      <c r="AB256" s="3"/>
      <c r="AC256" s="3"/>
      <c r="AD256" s="3"/>
      <c r="AE256" s="3"/>
      <c r="AF256" s="3"/>
      <c r="AG256" s="3"/>
      <c r="AH256" s="3"/>
    </row>
    <row r="257" spans="1:34" x14ac:dyDescent="0.3">
      <c r="A257" s="18"/>
      <c r="B257" s="203" t="s">
        <v>298</v>
      </c>
      <c r="C257" s="18">
        <f>C256*'besoin alim animale'!$G$37</f>
        <v>-31067.748515031024</v>
      </c>
      <c r="D257" s="203">
        <f>D256*'besoin alim animale'!$G$37</f>
        <v>-4950.2108641583982</v>
      </c>
      <c r="E257" s="203">
        <f>E256*'besoin alim animale'!$G$37</f>
        <v>-2502.2363910340027</v>
      </c>
      <c r="F257" s="203">
        <f>F256*'besoin alim animale'!$G$37</f>
        <v>13334.795417473359</v>
      </c>
      <c r="G257" s="203">
        <f>G256*'besoin alim animale'!$G$37</f>
        <v>33849.7571071852</v>
      </c>
      <c r="H257" s="203">
        <f>H256*'besoin alim animale'!$G$37</f>
        <v>47210.424463349103</v>
      </c>
      <c r="I257" s="203">
        <f>I256*'besoin alim animale'!$G$37</f>
        <v>53227.44021206897</v>
      </c>
      <c r="J257" s="203">
        <f>J256*'besoin alim animale'!$G$37</f>
        <v>44585.695359641715</v>
      </c>
      <c r="K257" s="203">
        <f>K256*'besoin alim animale'!$G$37</f>
        <v>42243.175564866637</v>
      </c>
      <c r="L257" s="203">
        <f>L256*'besoin alim animale'!$G$37</f>
        <v>51274.02440799991</v>
      </c>
      <c r="M257" s="203">
        <f>M256*'besoin alim animale'!$G$37</f>
        <v>-1792.4269619999825</v>
      </c>
      <c r="N257" s="203">
        <f>N256*'besoin alim animale'!$G$37</f>
        <v>17817.556322000037</v>
      </c>
      <c r="O257" s="203">
        <f>O256*'besoin alim animale'!$G$37</f>
        <v>4935.185805000011</v>
      </c>
      <c r="P257" s="203">
        <f>P256*'besoin alim animale'!$G$37</f>
        <v>-87946.030950000015</v>
      </c>
      <c r="Q257" s="99"/>
      <c r="R257" s="99"/>
      <c r="S257" s="209"/>
      <c r="T257" s="203"/>
      <c r="U257" s="203"/>
      <c r="V257" s="99"/>
      <c r="W257" s="203">
        <f>W256*'besoin alim animale'!$G$37</f>
        <v>-53927.732309798215</v>
      </c>
      <c r="X257" s="203">
        <f>X256*'besoin alim animale'!$G$37</f>
        <v>-39306.586975468912</v>
      </c>
      <c r="Y257" s="554"/>
      <c r="Z257" s="550"/>
      <c r="AA257" s="4"/>
      <c r="AB257" s="4"/>
      <c r="AC257" s="4"/>
      <c r="AD257" s="4"/>
      <c r="AE257" s="4"/>
      <c r="AF257" s="4"/>
      <c r="AG257" s="4"/>
      <c r="AH257" s="4"/>
    </row>
    <row r="258" spans="1:34" x14ac:dyDescent="0.3">
      <c r="A258" s="16" t="s">
        <v>45</v>
      </c>
      <c r="B258" s="47" t="s">
        <v>3</v>
      </c>
      <c r="C258" s="449">
        <v>24208835</v>
      </c>
      <c r="D258" s="243">
        <v>25257469</v>
      </c>
      <c r="E258" s="243">
        <v>24855101</v>
      </c>
      <c r="F258" s="243">
        <v>24557252</v>
      </c>
      <c r="G258" s="243">
        <v>25811100</v>
      </c>
      <c r="H258" s="243">
        <v>25935995</v>
      </c>
      <c r="I258" s="243">
        <v>25306249</v>
      </c>
      <c r="J258" s="243">
        <v>25308584</v>
      </c>
      <c r="K258" s="243">
        <v>25268890</v>
      </c>
      <c r="L258" s="243">
        <v>25349394</v>
      </c>
      <c r="M258" s="243">
        <v>25508783</v>
      </c>
      <c r="N258" s="243">
        <v>25076212</v>
      </c>
      <c r="O258" s="243">
        <v>24914148</v>
      </c>
      <c r="P258" s="124">
        <v>24191744</v>
      </c>
      <c r="Q258" s="250"/>
      <c r="R258" s="250"/>
      <c r="S258" s="251"/>
      <c r="T258" s="124"/>
      <c r="U258" s="239"/>
      <c r="V258" s="250"/>
      <c r="W258" s="47">
        <f>AVERAGE(N258:P258)*(1+'Hypothèses production'!$B$11)</f>
        <v>24727368</v>
      </c>
      <c r="X258" s="17">
        <f>W258</f>
        <v>24727368</v>
      </c>
      <c r="Y258" s="206"/>
      <c r="Z258" s="104"/>
    </row>
    <row r="259" spans="1:34" x14ac:dyDescent="0.3">
      <c r="A259" s="16" t="s">
        <v>10</v>
      </c>
      <c r="B259" s="48" t="s">
        <v>296</v>
      </c>
      <c r="C259" s="14">
        <f>'Calcul R84'!C26</f>
        <v>356.90700585542027</v>
      </c>
      <c r="D259" s="48">
        <f>'Calcul R84'!D26</f>
        <v>356.01510984118306</v>
      </c>
      <c r="E259" s="48">
        <f>'Calcul R84'!E26</f>
        <v>354.72110650832559</v>
      </c>
      <c r="F259" s="48">
        <f>'Calcul R84'!F26</f>
        <v>353.93994538638594</v>
      </c>
      <c r="G259" s="48">
        <f>'Calcul R84'!G26</f>
        <v>360.13449215740792</v>
      </c>
      <c r="H259" s="48">
        <f>'Calcul R84'!H26</f>
        <v>355.08771550963172</v>
      </c>
      <c r="I259" s="48">
        <f>'Calcul R84'!I26</f>
        <v>347.27314324950345</v>
      </c>
      <c r="J259" s="48">
        <f>'Calcul R84'!J26</f>
        <v>346.41117043054464</v>
      </c>
      <c r="K259" s="48">
        <f>'Calcul R84'!K26</f>
        <v>345.21500000000003</v>
      </c>
      <c r="L259" s="48">
        <f>'Calcul R84'!L26</f>
        <v>367.89000000000004</v>
      </c>
      <c r="M259" s="48">
        <f>'Calcul R84'!M26</f>
        <v>354.35</v>
      </c>
      <c r="N259" s="48">
        <f>'Calcul R84'!N26</f>
        <v>368</v>
      </c>
      <c r="O259" s="48">
        <f>'Calcul R84'!O26</f>
        <v>362.1</v>
      </c>
      <c r="P259" s="48">
        <f>'Calcul R84'!P26</f>
        <v>362.5625</v>
      </c>
      <c r="Q259" s="48">
        <f>'Calcul R84'!Q26</f>
        <v>0</v>
      </c>
      <c r="R259" s="48">
        <f>'Calcul R84'!R26</f>
        <v>0</v>
      </c>
      <c r="S259" s="48">
        <f>'Calcul R84'!S26</f>
        <v>0</v>
      </c>
      <c r="T259" s="48">
        <f>'Calcul R84'!T26</f>
        <v>0</v>
      </c>
      <c r="U259" s="48">
        <f>'Calcul R84'!U26</f>
        <v>0</v>
      </c>
      <c r="V259" s="48">
        <f>'Calcul R84'!V26</f>
        <v>0</v>
      </c>
      <c r="W259" s="48">
        <f>'Calcul R84'!W26</f>
        <v>360</v>
      </c>
      <c r="X259" s="15">
        <f>'Calcul R84'!X26</f>
        <v>324</v>
      </c>
      <c r="Y259" s="225"/>
      <c r="Z259" s="14"/>
    </row>
    <row r="260" spans="1:34" x14ac:dyDescent="0.3">
      <c r="A260" s="14" t="s">
        <v>11</v>
      </c>
      <c r="B260" s="47" t="s">
        <v>297</v>
      </c>
      <c r="C260" s="16">
        <f t="shared" ref="C260:P260" si="190">C259*C105/1000</f>
        <v>22401352.09566183</v>
      </c>
      <c r="D260" s="47">
        <f t="shared" si="190"/>
        <v>22453995.446881201</v>
      </c>
      <c r="E260" s="47">
        <f t="shared" si="190"/>
        <v>22480794.559159555</v>
      </c>
      <c r="F260" s="47">
        <f t="shared" si="190"/>
        <v>22545218.859329384</v>
      </c>
      <c r="G260" s="47">
        <f t="shared" si="190"/>
        <v>23058676.138205845</v>
      </c>
      <c r="H260" s="47">
        <f t="shared" si="190"/>
        <v>22832431.634283751</v>
      </c>
      <c r="I260" s="47">
        <f t="shared" si="190"/>
        <v>22388280.039338443</v>
      </c>
      <c r="J260" s="47">
        <f t="shared" si="190"/>
        <v>22391717.718145642</v>
      </c>
      <c r="K260" s="47">
        <f t="shared" si="190"/>
        <v>22385134.232955001</v>
      </c>
      <c r="L260" s="47">
        <f t="shared" si="190"/>
        <v>23948449.979520004</v>
      </c>
      <c r="M260" s="47">
        <f t="shared" si="190"/>
        <v>23128124.719900001</v>
      </c>
      <c r="N260" s="47">
        <f t="shared" si="190"/>
        <v>24105918.384</v>
      </c>
      <c r="O260" s="47">
        <f t="shared" si="190"/>
        <v>23797875.005100001</v>
      </c>
      <c r="P260" s="47">
        <f t="shared" si="190"/>
        <v>23902281.235062499</v>
      </c>
      <c r="Q260" s="47">
        <f t="shared" ref="Q260:V260" si="191">Q259*Q130/1000</f>
        <v>0</v>
      </c>
      <c r="R260" s="47">
        <f t="shared" si="191"/>
        <v>0</v>
      </c>
      <c r="S260" s="47">
        <f t="shared" si="191"/>
        <v>0</v>
      </c>
      <c r="T260" s="47">
        <f t="shared" si="191"/>
        <v>0</v>
      </c>
      <c r="U260" s="47">
        <f t="shared" si="191"/>
        <v>0</v>
      </c>
      <c r="V260" s="47">
        <f t="shared" si="191"/>
        <v>0</v>
      </c>
      <c r="W260" s="47">
        <f>W259*W105/1000</f>
        <v>24034759.453691997</v>
      </c>
      <c r="X260" s="17">
        <f>X259*X105/1000</f>
        <v>21631283.508322801</v>
      </c>
      <c r="Y260" s="206"/>
      <c r="Z260" s="16"/>
    </row>
    <row r="261" spans="1:34" x14ac:dyDescent="0.3">
      <c r="A261" s="16"/>
      <c r="B261" s="53" t="s">
        <v>300</v>
      </c>
      <c r="C261" s="58">
        <f t="shared" ref="C261:O261" si="192">C258-C260</f>
        <v>1807482.9043381698</v>
      </c>
      <c r="D261" s="53">
        <f t="shared" si="192"/>
        <v>2803473.5531187989</v>
      </c>
      <c r="E261" s="53">
        <f t="shared" si="192"/>
        <v>2374306.4408404455</v>
      </c>
      <c r="F261" s="53">
        <f t="shared" si="192"/>
        <v>2012033.1406706162</v>
      </c>
      <c r="G261" s="53">
        <f t="shared" si="192"/>
        <v>2752423.8617941551</v>
      </c>
      <c r="H261" s="53">
        <f t="shared" si="192"/>
        <v>3103563.3657162488</v>
      </c>
      <c r="I261" s="53">
        <f t="shared" si="192"/>
        <v>2917968.9606615566</v>
      </c>
      <c r="J261" s="53">
        <f t="shared" si="192"/>
        <v>2916866.2818543576</v>
      </c>
      <c r="K261" s="53">
        <f t="shared" si="192"/>
        <v>2883755.7670449987</v>
      </c>
      <c r="L261" s="53">
        <f t="shared" si="192"/>
        <v>1400944.0204799958</v>
      </c>
      <c r="M261" s="53">
        <f t="shared" si="192"/>
        <v>2380658.2800999992</v>
      </c>
      <c r="N261" s="53">
        <f t="shared" si="192"/>
        <v>970293.61600000039</v>
      </c>
      <c r="O261" s="53">
        <f t="shared" si="192"/>
        <v>1116272.9948999994</v>
      </c>
      <c r="P261" s="53">
        <f t="shared" ref="P261:V261" si="193">P258-P260</f>
        <v>289462.7649375014</v>
      </c>
      <c r="Q261" s="53">
        <f t="shared" si="193"/>
        <v>0</v>
      </c>
      <c r="R261" s="53">
        <f t="shared" si="193"/>
        <v>0</v>
      </c>
      <c r="S261" s="53">
        <f t="shared" si="193"/>
        <v>0</v>
      </c>
      <c r="T261" s="53">
        <f t="shared" si="193"/>
        <v>0</v>
      </c>
      <c r="U261" s="53">
        <f t="shared" si="193"/>
        <v>0</v>
      </c>
      <c r="V261" s="53">
        <f t="shared" si="193"/>
        <v>0</v>
      </c>
      <c r="W261" s="53">
        <f>W258-W260</f>
        <v>692608.54630800337</v>
      </c>
      <c r="X261" s="210">
        <f>X258-X260</f>
        <v>3096084.4916771986</v>
      </c>
      <c r="Y261" s="292">
        <f>AVERAGE(L258:P258)/AVERAGE(L260:P260)</f>
        <v>1.0517958820017315</v>
      </c>
      <c r="Z261" s="294"/>
    </row>
    <row r="262" spans="1:34" x14ac:dyDescent="0.3">
      <c r="A262" s="205"/>
      <c r="B262" s="181" t="s">
        <v>298</v>
      </c>
      <c r="C262" s="18">
        <f>C261*'besoin alim animale'!$B$37</f>
        <v>109338.1392374243</v>
      </c>
      <c r="D262" s="203">
        <f>D261*'besoin alim animale'!$B$37</f>
        <v>169587.5413060009</v>
      </c>
      <c r="E262" s="203">
        <f>E261*'besoin alim animale'!$B$37</f>
        <v>143626.39203825954</v>
      </c>
      <c r="F262" s="203">
        <f>F261*'besoin alim animale'!$B$37</f>
        <v>121711.77893685721</v>
      </c>
      <c r="G262" s="203">
        <f>G261*'besoin alim animale'!$B$37</f>
        <v>166499.44667191902</v>
      </c>
      <c r="H262" s="203">
        <f>H261*'besoin alim animale'!$B$37</f>
        <v>187740.55488901277</v>
      </c>
      <c r="I262" s="203">
        <f>I261*'besoin alim animale'!$B$37</f>
        <v>176513.59011227693</v>
      </c>
      <c r="J262" s="203">
        <f>J261*'besoin alim animale'!$B$37</f>
        <v>176446.8869370124</v>
      </c>
      <c r="K262" s="203">
        <f>K261*'besoin alim animale'!$B$37</f>
        <v>174443.9678113269</v>
      </c>
      <c r="L262" s="203">
        <f>L261*'besoin alim animale'!$B$37</f>
        <v>84745.815303390715</v>
      </c>
      <c r="M262" s="203">
        <f>M261*'besoin alim animale'!$B$37</f>
        <v>144010.62708895237</v>
      </c>
      <c r="N262" s="203">
        <f>N261*'besoin alim animale'!$B$37</f>
        <v>58694.938819483898</v>
      </c>
      <c r="O262" s="203">
        <f>O261*'besoin alim animale'!$B$37</f>
        <v>67525.513989878193</v>
      </c>
      <c r="P262" s="203">
        <f>P261*'besoin alim animale'!$B$37</f>
        <v>17510.162901582244</v>
      </c>
      <c r="Q262" s="99"/>
      <c r="R262" s="99"/>
      <c r="S262" s="209"/>
      <c r="T262" s="203"/>
      <c r="U262" s="203"/>
      <c r="V262" s="99"/>
      <c r="W262" s="203">
        <f>W261*'besoin alim animale'!$B$37</f>
        <v>41897.2314988414</v>
      </c>
      <c r="X262" s="19">
        <f>X261*'besoin alim animale'!$B$37</f>
        <v>187288.14332315055</v>
      </c>
      <c r="Y262" s="295"/>
      <c r="Z262" s="296"/>
    </row>
    <row r="263" spans="1:34" s="182" customFormat="1" x14ac:dyDescent="0.3">
      <c r="A263" s="144" t="s">
        <v>326</v>
      </c>
      <c r="B263" s="13" t="s">
        <v>139</v>
      </c>
      <c r="C263" s="144">
        <f t="shared" ref="C263:P263" si="194">SUM(C107,C114,C121,C128,C135,C142)</f>
        <v>3088808.0713904747</v>
      </c>
      <c r="D263" s="219">
        <f t="shared" si="194"/>
        <v>3078904.566402989</v>
      </c>
      <c r="E263" s="219">
        <f t="shared" si="194"/>
        <v>3028926.8977745851</v>
      </c>
      <c r="F263" s="219">
        <f t="shared" si="194"/>
        <v>3026228.4656563275</v>
      </c>
      <c r="G263" s="219">
        <f t="shared" si="194"/>
        <v>2947448.5233004158</v>
      </c>
      <c r="H263" s="219">
        <f t="shared" si="194"/>
        <v>3021522.694310911</v>
      </c>
      <c r="I263" s="219">
        <f t="shared" si="194"/>
        <v>3040704.3667184892</v>
      </c>
      <c r="J263" s="219">
        <f t="shared" si="194"/>
        <v>2963368.9453137647</v>
      </c>
      <c r="K263" s="219">
        <f t="shared" si="194"/>
        <v>2918478.3308825204</v>
      </c>
      <c r="L263" s="219">
        <f t="shared" si="194"/>
        <v>2858015.2259949422</v>
      </c>
      <c r="M263" s="219">
        <f t="shared" si="194"/>
        <v>2733959.5428624512</v>
      </c>
      <c r="N263" s="219">
        <f t="shared" si="194"/>
        <v>2934471.4395475648</v>
      </c>
      <c r="O263" s="219">
        <f t="shared" si="194"/>
        <v>2947981.692620995</v>
      </c>
      <c r="P263" s="219">
        <f t="shared" si="194"/>
        <v>2914148.508980982</v>
      </c>
      <c r="Q263" s="220"/>
      <c r="R263" s="220"/>
      <c r="S263" s="221"/>
      <c r="T263" s="222"/>
      <c r="U263" s="222"/>
      <c r="V263" s="220"/>
      <c r="W263" s="219">
        <f>SUM(W107,W114,W121,W128,W135,W142)</f>
        <v>2932200.5470498474</v>
      </c>
      <c r="X263" s="223">
        <f>SUM(X107,X114,X121,X128,X135,X142)</f>
        <v>2932200.5470498474</v>
      </c>
      <c r="Y263" s="217"/>
      <c r="Z263" s="217"/>
    </row>
    <row r="264" spans="1:34" s="182" customFormat="1" x14ac:dyDescent="0.3">
      <c r="A264" s="205" t="s">
        <v>56</v>
      </c>
      <c r="B264" s="15"/>
      <c r="C264" s="224"/>
      <c r="D264" s="218"/>
      <c r="E264" s="218"/>
      <c r="F264" s="218"/>
      <c r="G264" s="218"/>
      <c r="H264" s="218"/>
      <c r="I264" s="218"/>
      <c r="J264" s="218"/>
      <c r="K264" s="218"/>
      <c r="L264" s="218"/>
      <c r="M264" s="218"/>
      <c r="N264" s="218"/>
      <c r="O264" s="218"/>
      <c r="P264" s="218"/>
      <c r="Q264" s="90"/>
      <c r="R264" s="90"/>
      <c r="S264" s="157"/>
      <c r="T264" s="121"/>
      <c r="U264" s="121"/>
      <c r="V264" s="90"/>
      <c r="W264" s="218"/>
      <c r="X264" s="225"/>
      <c r="Y264" s="217"/>
      <c r="Z264" s="217"/>
    </row>
    <row r="265" spans="1:34" s="182" customFormat="1" x14ac:dyDescent="0.3">
      <c r="A265" s="205" t="s">
        <v>309</v>
      </c>
      <c r="B265" s="17" t="s">
        <v>138</v>
      </c>
      <c r="C265" s="205">
        <f t="shared" ref="C265:P265" si="195">SUM(C109,C116,C123,C130,C137,C144)</f>
        <v>17450921.528307568</v>
      </c>
      <c r="D265" s="181">
        <f t="shared" si="195"/>
        <v>16559511.375770112</v>
      </c>
      <c r="E265" s="181">
        <f t="shared" si="195"/>
        <v>17472654.667705391</v>
      </c>
      <c r="F265" s="181">
        <f t="shared" si="195"/>
        <v>17272668.465698592</v>
      </c>
      <c r="G265" s="181">
        <f t="shared" si="195"/>
        <v>17606949.270835683</v>
      </c>
      <c r="H265" s="181">
        <f t="shared" si="195"/>
        <v>18931295.618650045</v>
      </c>
      <c r="I265" s="181">
        <f t="shared" si="195"/>
        <v>13601018.610498797</v>
      </c>
      <c r="J265" s="181">
        <f t="shared" si="195"/>
        <v>17714321.191109076</v>
      </c>
      <c r="K265" s="181">
        <f t="shared" si="195"/>
        <v>16236105.962879427</v>
      </c>
      <c r="L265" s="181">
        <f t="shared" si="195"/>
        <v>18168534.299480904</v>
      </c>
      <c r="M265" s="181">
        <f t="shared" si="195"/>
        <v>14073597.667296251</v>
      </c>
      <c r="N265" s="181">
        <f t="shared" si="195"/>
        <v>16858095.115823336</v>
      </c>
      <c r="O265" s="181">
        <f t="shared" si="195"/>
        <v>15761440.592578106</v>
      </c>
      <c r="P265" s="181">
        <f t="shared" si="195"/>
        <v>16419508.047733987</v>
      </c>
      <c r="Q265" s="90"/>
      <c r="R265" s="90"/>
      <c r="S265" s="157"/>
      <c r="T265" s="121"/>
      <c r="U265" s="121"/>
      <c r="V265" s="90"/>
      <c r="W265" s="181">
        <f t="shared" ref="W265:X268" si="196">SUM(W109,W116,W123,W130,W137,W144)</f>
        <v>16444256.018811494</v>
      </c>
      <c r="X265" s="206">
        <f t="shared" si="196"/>
        <v>16444256.018811494</v>
      </c>
      <c r="Y265" s="217"/>
      <c r="Z265" s="217"/>
    </row>
    <row r="266" spans="1:34" s="182" customFormat="1" x14ac:dyDescent="0.3">
      <c r="A266" s="205"/>
      <c r="B266" s="21" t="s">
        <v>327</v>
      </c>
      <c r="C266" s="205">
        <f t="shared" ref="C266:P266" si="197">SUM(C110,C117,C124,C131,C138,C145)</f>
        <v>125.57531636992255</v>
      </c>
      <c r="D266" s="181">
        <f t="shared" si="197"/>
        <v>125.08465835066049</v>
      </c>
      <c r="E266" s="181">
        <f t="shared" si="197"/>
        <v>126.00379757825864</v>
      </c>
      <c r="F266" s="181">
        <f t="shared" si="197"/>
        <v>126.3303423958655</v>
      </c>
      <c r="G266" s="181">
        <f t="shared" si="197"/>
        <v>129.54753641363811</v>
      </c>
      <c r="H266" s="181">
        <f t="shared" si="197"/>
        <v>126.16025368472187</v>
      </c>
      <c r="I266" s="181">
        <f t="shared" si="197"/>
        <v>128.18754430643267</v>
      </c>
      <c r="J266" s="181">
        <f t="shared" si="197"/>
        <v>130.89736075905324</v>
      </c>
      <c r="K266" s="181">
        <f t="shared" si="197"/>
        <v>133.36808999345297</v>
      </c>
      <c r="L266" s="181">
        <f t="shared" si="197"/>
        <v>132.64907939490271</v>
      </c>
      <c r="M266" s="181">
        <f t="shared" si="197"/>
        <v>134.54623973569718</v>
      </c>
      <c r="N266" s="181">
        <f t="shared" si="197"/>
        <v>129.15291747311693</v>
      </c>
      <c r="O266" s="181">
        <f t="shared" si="197"/>
        <v>129.92213079076285</v>
      </c>
      <c r="P266" s="181">
        <f t="shared" si="197"/>
        <v>129.95686444191747</v>
      </c>
      <c r="Q266" s="90"/>
      <c r="R266" s="90"/>
      <c r="S266" s="157"/>
      <c r="T266" s="121"/>
      <c r="U266" s="121"/>
      <c r="V266" s="90"/>
      <c r="W266" s="181">
        <f t="shared" si="196"/>
        <v>130.19999999999999</v>
      </c>
      <c r="X266" s="206">
        <f t="shared" si="196"/>
        <v>136.04</v>
      </c>
      <c r="Y266" s="217"/>
      <c r="Z266" s="217"/>
    </row>
    <row r="267" spans="1:34" s="182" customFormat="1" x14ac:dyDescent="0.3">
      <c r="A267" s="205"/>
      <c r="B267" s="17" t="s">
        <v>297</v>
      </c>
      <c r="C267" s="205">
        <f t="shared" ref="C267:P267" si="198">SUM(C111,C118,C125,C132,C139,C146)</f>
        <v>7881764.2421575347</v>
      </c>
      <c r="D267" s="181">
        <f t="shared" si="198"/>
        <v>7889132.4312986303</v>
      </c>
      <c r="E267" s="181">
        <f t="shared" si="198"/>
        <v>7985613.0212095892</v>
      </c>
      <c r="F267" s="181">
        <f t="shared" si="198"/>
        <v>8046973.0953356158</v>
      </c>
      <c r="G267" s="181">
        <f t="shared" si="198"/>
        <v>8294664.2204958908</v>
      </c>
      <c r="H267" s="181">
        <f t="shared" si="198"/>
        <v>8112207.8894958915</v>
      </c>
      <c r="I267" s="181">
        <f t="shared" si="198"/>
        <v>8264096.1308821924</v>
      </c>
      <c r="J267" s="181">
        <f t="shared" si="198"/>
        <v>8461091.9114534222</v>
      </c>
      <c r="K267" s="181">
        <f t="shared" si="198"/>
        <v>8648125.362154793</v>
      </c>
      <c r="L267" s="181">
        <f t="shared" si="198"/>
        <v>8635026.3467835635</v>
      </c>
      <c r="M267" s="181">
        <f t="shared" si="198"/>
        <v>8781719.2414301373</v>
      </c>
      <c r="N267" s="181">
        <f t="shared" si="198"/>
        <v>8460189.368647946</v>
      </c>
      <c r="O267" s="181">
        <f t="shared" si="198"/>
        <v>8538720.32299041</v>
      </c>
      <c r="P267" s="181">
        <f t="shared" si="198"/>
        <v>8567531.176880138</v>
      </c>
      <c r="Q267" s="90"/>
      <c r="R267" s="90"/>
      <c r="S267" s="157"/>
      <c r="T267" s="121"/>
      <c r="U267" s="121"/>
      <c r="V267" s="90"/>
      <c r="W267" s="181">
        <f t="shared" si="196"/>
        <v>8692571.3357519377</v>
      </c>
      <c r="X267" s="206">
        <f t="shared" si="196"/>
        <v>9082468.5446673874</v>
      </c>
      <c r="Y267" s="217"/>
      <c r="Z267" s="217"/>
    </row>
    <row r="268" spans="1:34" s="182" customFormat="1" x14ac:dyDescent="0.3">
      <c r="A268" s="18"/>
      <c r="B268" s="19" t="s">
        <v>298</v>
      </c>
      <c r="C268" s="18">
        <f t="shared" ref="C268:P268" si="199">SUM(C112,C119,C126,C133,C140,C147)</f>
        <v>1562684.6732331663</v>
      </c>
      <c r="D268" s="203">
        <f t="shared" si="199"/>
        <v>1525946.1112442373</v>
      </c>
      <c r="E268" s="203">
        <f t="shared" si="199"/>
        <v>1470666.0967165544</v>
      </c>
      <c r="F268" s="203">
        <f t="shared" si="199"/>
        <v>1376229.8197091604</v>
      </c>
      <c r="G268" s="203">
        <f t="shared" si="199"/>
        <v>1435420.7301370469</v>
      </c>
      <c r="H268" s="203">
        <f t="shared" si="199"/>
        <v>1445981.101783477</v>
      </c>
      <c r="I268" s="203">
        <f t="shared" si="199"/>
        <v>1000442.4054741015</v>
      </c>
      <c r="J268" s="203">
        <f t="shared" si="199"/>
        <v>1374593.5038068614</v>
      </c>
      <c r="K268" s="203">
        <f t="shared" si="199"/>
        <v>1157888.9506680586</v>
      </c>
      <c r="L268" s="203">
        <f t="shared" si="199"/>
        <v>1243190.4770605187</v>
      </c>
      <c r="M268" s="203">
        <f t="shared" si="199"/>
        <v>857215.05695251457</v>
      </c>
      <c r="N268" s="203">
        <f t="shared" si="199"/>
        <v>1318734.6247873576</v>
      </c>
      <c r="O268" s="203">
        <f t="shared" si="199"/>
        <v>1177654.4283319365</v>
      </c>
      <c r="P268" s="203">
        <f t="shared" si="199"/>
        <v>1251539.7578264566</v>
      </c>
      <c r="Q268" s="226"/>
      <c r="R268" s="226"/>
      <c r="S268" s="227"/>
      <c r="T268" s="228"/>
      <c r="U268" s="228"/>
      <c r="V268" s="226"/>
      <c r="W268" s="203">
        <f t="shared" si="196"/>
        <v>1210229.9613221367</v>
      </c>
      <c r="X268" s="19">
        <f t="shared" si="196"/>
        <v>1154092.0824651159</v>
      </c>
      <c r="Y268" s="217"/>
      <c r="Z268" s="217"/>
    </row>
    <row r="269" spans="1:34" s="182" customFormat="1" x14ac:dyDescent="0.3">
      <c r="A269" s="144" t="s">
        <v>326</v>
      </c>
      <c r="B269" s="13" t="s">
        <v>139</v>
      </c>
      <c r="C269" s="144">
        <f t="shared" ref="C269:P269" si="200">SUM(C205,C212,C219,C226)</f>
        <v>73416</v>
      </c>
      <c r="D269" s="219">
        <f t="shared" si="200"/>
        <v>71496</v>
      </c>
      <c r="E269" s="219">
        <f t="shared" si="200"/>
        <v>69760</v>
      </c>
      <c r="F269" s="219">
        <f t="shared" si="200"/>
        <v>67851</v>
      </c>
      <c r="G269" s="219">
        <f t="shared" si="200"/>
        <v>67474</v>
      </c>
      <c r="H269" s="219">
        <f t="shared" si="200"/>
        <v>66768</v>
      </c>
      <c r="I269" s="219">
        <f t="shared" si="200"/>
        <v>67512</v>
      </c>
      <c r="J269" s="219">
        <f t="shared" si="200"/>
        <v>68036</v>
      </c>
      <c r="K269" s="219">
        <f t="shared" si="200"/>
        <v>68570</v>
      </c>
      <c r="L269" s="219">
        <f t="shared" si="200"/>
        <v>69078</v>
      </c>
      <c r="M269" s="219">
        <f t="shared" si="200"/>
        <v>69624</v>
      </c>
      <c r="N269" s="219">
        <f t="shared" si="200"/>
        <v>68883</v>
      </c>
      <c r="O269" s="219">
        <f t="shared" si="200"/>
        <v>68142</v>
      </c>
      <c r="P269" s="219">
        <f t="shared" si="200"/>
        <v>67852</v>
      </c>
      <c r="Q269" s="220"/>
      <c r="R269" s="220"/>
      <c r="S269" s="221"/>
      <c r="T269" s="222"/>
      <c r="U269" s="222"/>
      <c r="V269" s="220"/>
      <c r="W269" s="219">
        <f>SUM(W205,W212,W219,W226)</f>
        <v>68292.333333333328</v>
      </c>
      <c r="X269" s="223">
        <f>SUM(X205,X212,X219,X226)</f>
        <v>68292.333333333328</v>
      </c>
      <c r="Y269" s="217"/>
      <c r="Z269" s="217"/>
    </row>
    <row r="270" spans="1:34" s="182" customFormat="1" x14ac:dyDescent="0.3">
      <c r="A270" s="205" t="s">
        <v>89</v>
      </c>
      <c r="B270" s="15"/>
      <c r="C270" s="205"/>
      <c r="D270" s="181"/>
      <c r="E270" s="181"/>
      <c r="F270" s="181"/>
      <c r="G270" s="181"/>
      <c r="H270" s="181"/>
      <c r="I270" s="181"/>
      <c r="J270" s="181"/>
      <c r="K270" s="181"/>
      <c r="L270" s="181"/>
      <c r="M270" s="181"/>
      <c r="N270" s="181"/>
      <c r="O270" s="181"/>
      <c r="P270" s="181"/>
      <c r="Q270" s="90"/>
      <c r="R270" s="90"/>
      <c r="S270" s="157"/>
      <c r="T270" s="121"/>
      <c r="U270" s="121"/>
      <c r="V270" s="90"/>
      <c r="W270" s="181"/>
      <c r="X270" s="206"/>
      <c r="Y270" s="217"/>
      <c r="Z270" s="217"/>
    </row>
    <row r="271" spans="1:34" s="182" customFormat="1" x14ac:dyDescent="0.3">
      <c r="A271" s="205"/>
      <c r="B271" s="17" t="s">
        <v>138</v>
      </c>
      <c r="C271" s="205">
        <f t="shared" ref="C271:P271" si="201">SUM(C207,C214,C221,C228)</f>
        <v>2362182.1</v>
      </c>
      <c r="D271" s="181">
        <f t="shared" si="201"/>
        <v>2392918.2999999998</v>
      </c>
      <c r="E271" s="181">
        <f t="shared" si="201"/>
        <v>1908826.8</v>
      </c>
      <c r="F271" s="181">
        <f t="shared" si="201"/>
        <v>2259994.1999999997</v>
      </c>
      <c r="G271" s="181">
        <f t="shared" si="201"/>
        <v>2158420.2000000002</v>
      </c>
      <c r="H271" s="181">
        <f t="shared" si="201"/>
        <v>2226516</v>
      </c>
      <c r="I271" s="181">
        <f t="shared" si="201"/>
        <v>2082332.2</v>
      </c>
      <c r="J271" s="181">
        <f t="shared" si="201"/>
        <v>2092630.9</v>
      </c>
      <c r="K271" s="181">
        <f t="shared" si="201"/>
        <v>2021341.9</v>
      </c>
      <c r="L271" s="181">
        <f t="shared" si="201"/>
        <v>2154747.5</v>
      </c>
      <c r="M271" s="181">
        <f t="shared" si="201"/>
        <v>1889082.7999999998</v>
      </c>
      <c r="N271" s="181">
        <f t="shared" si="201"/>
        <v>1615236.1999999997</v>
      </c>
      <c r="O271" s="181">
        <f t="shared" si="201"/>
        <v>1949245.3</v>
      </c>
      <c r="P271" s="181">
        <f t="shared" si="201"/>
        <v>2064970.6</v>
      </c>
      <c r="Q271" s="90"/>
      <c r="R271" s="90"/>
      <c r="S271" s="157"/>
      <c r="T271" s="121"/>
      <c r="U271" s="121"/>
      <c r="V271" s="90"/>
      <c r="W271" s="181">
        <f t="shared" ref="W271:X274" si="202">SUM(W207,W214,W221,W228)</f>
        <v>1926350.4133333338</v>
      </c>
      <c r="X271" s="206">
        <f t="shared" si="202"/>
        <v>1926350.4133333338</v>
      </c>
      <c r="Y271" s="217"/>
      <c r="Z271" s="217"/>
    </row>
    <row r="272" spans="1:34" s="182" customFormat="1" x14ac:dyDescent="0.3">
      <c r="A272" s="205"/>
      <c r="B272" s="21" t="s">
        <v>327</v>
      </c>
      <c r="C272" s="205">
        <f t="shared" ref="C272:P272" si="203">SUM(C208,C215,C222,C229)</f>
        <v>34.698739756172344</v>
      </c>
      <c r="D272" s="181">
        <f t="shared" si="203"/>
        <v>33.657770656839929</v>
      </c>
      <c r="E272" s="181">
        <f t="shared" si="203"/>
        <v>32.568862976474158</v>
      </c>
      <c r="F272" s="181">
        <f t="shared" si="203"/>
        <v>31.998593610633577</v>
      </c>
      <c r="G272" s="181">
        <f t="shared" si="203"/>
        <v>31.642332754075966</v>
      </c>
      <c r="H272" s="181">
        <f t="shared" si="203"/>
        <v>33.511658328592723</v>
      </c>
      <c r="I272" s="181">
        <f t="shared" si="203"/>
        <v>35.367612099820327</v>
      </c>
      <c r="J272" s="181">
        <f t="shared" si="203"/>
        <v>33.740201043538129</v>
      </c>
      <c r="K272" s="181">
        <f t="shared" si="203"/>
        <v>33.529978713385781</v>
      </c>
      <c r="L272" s="181">
        <f t="shared" si="203"/>
        <v>32.631108518321525</v>
      </c>
      <c r="M272" s="181">
        <f t="shared" si="203"/>
        <v>32.064557055542657</v>
      </c>
      <c r="N272" s="181">
        <f t="shared" si="203"/>
        <v>29.20570196298728</v>
      </c>
      <c r="O272" s="181">
        <f t="shared" si="203"/>
        <v>31.207230795198022</v>
      </c>
      <c r="P272" s="181">
        <f t="shared" si="203"/>
        <v>31.28132694579827</v>
      </c>
      <c r="Q272" s="90"/>
      <c r="R272" s="90"/>
      <c r="S272" s="157"/>
      <c r="T272" s="121"/>
      <c r="U272" s="121"/>
      <c r="V272" s="90"/>
      <c r="W272" s="181">
        <f t="shared" si="202"/>
        <v>31.8</v>
      </c>
      <c r="X272" s="206">
        <f t="shared" si="202"/>
        <v>33.39</v>
      </c>
      <c r="Y272" s="217"/>
      <c r="Z272" s="217"/>
    </row>
    <row r="273" spans="1:26" s="182" customFormat="1" x14ac:dyDescent="0.3">
      <c r="A273" s="205"/>
      <c r="B273" s="17" t="s">
        <v>297</v>
      </c>
      <c r="C273" s="205">
        <f t="shared" ref="C273:P273" si="204">SUM(C209,C216,C223,C230)</f>
        <v>2177874.5550000002</v>
      </c>
      <c r="D273" s="181">
        <f t="shared" si="204"/>
        <v>2122807.1736000003</v>
      </c>
      <c r="E273" s="181">
        <f t="shared" si="204"/>
        <v>2064083.3155</v>
      </c>
      <c r="F273" s="181">
        <f t="shared" si="204"/>
        <v>2038242.0960000001</v>
      </c>
      <c r="G273" s="181">
        <f t="shared" si="204"/>
        <v>2025993.9526000004</v>
      </c>
      <c r="H273" s="181">
        <f t="shared" si="204"/>
        <v>2154827.1436000001</v>
      </c>
      <c r="I273" s="181">
        <f t="shared" si="204"/>
        <v>2280107.2280000001</v>
      </c>
      <c r="J273" s="181">
        <f t="shared" si="204"/>
        <v>2180937.3426999999</v>
      </c>
      <c r="K273" s="181">
        <f t="shared" si="204"/>
        <v>2174219.1803000001</v>
      </c>
      <c r="L273" s="181">
        <f t="shared" si="204"/>
        <v>2124179.7008000002</v>
      </c>
      <c r="M273" s="181">
        <f t="shared" si="204"/>
        <v>2092826.5123999999</v>
      </c>
      <c r="N273" s="181">
        <f t="shared" si="204"/>
        <v>1913125.7278999998</v>
      </c>
      <c r="O273" s="181">
        <f t="shared" si="204"/>
        <v>2050996.3483</v>
      </c>
      <c r="P273" s="181">
        <f t="shared" si="204"/>
        <v>2062251.5402569459</v>
      </c>
      <c r="Q273" s="90"/>
      <c r="R273" s="90"/>
      <c r="S273" s="157"/>
      <c r="T273" s="121"/>
      <c r="U273" s="121"/>
      <c r="V273" s="90"/>
      <c r="W273" s="181">
        <f t="shared" si="202"/>
        <v>2123070.4184094598</v>
      </c>
      <c r="X273" s="206">
        <f t="shared" si="202"/>
        <v>2229223.9393299329</v>
      </c>
      <c r="Y273" s="217"/>
      <c r="Z273" s="217"/>
    </row>
    <row r="274" spans="1:26" s="182" customFormat="1" x14ac:dyDescent="0.3">
      <c r="A274" s="18"/>
      <c r="B274" s="19" t="s">
        <v>298</v>
      </c>
      <c r="C274" s="18">
        <f t="shared" ref="C274:P274" si="205">SUM(C210,C217,C224,C231)</f>
        <v>2580.4979950715915</v>
      </c>
      <c r="D274" s="203">
        <f t="shared" si="205"/>
        <v>5961.9557918471564</v>
      </c>
      <c r="E274" s="203">
        <f t="shared" si="205"/>
        <v>-5489.8971006930988</v>
      </c>
      <c r="F274" s="203">
        <f t="shared" si="205"/>
        <v>3588.5001315063823</v>
      </c>
      <c r="G274" s="203">
        <f t="shared" si="205"/>
        <v>2846.3651133943608</v>
      </c>
      <c r="H274" s="203">
        <f t="shared" si="205"/>
        <v>857.98722851119919</v>
      </c>
      <c r="I274" s="203">
        <f t="shared" si="205"/>
        <v>-5412.6044302489099</v>
      </c>
      <c r="J274" s="203">
        <f t="shared" si="205"/>
        <v>-1962.2819024305504</v>
      </c>
      <c r="K274" s="203">
        <f t="shared" si="205"/>
        <v>-5562.151574369942</v>
      </c>
      <c r="L274" s="203">
        <f t="shared" si="205"/>
        <v>-731.34803991863305</v>
      </c>
      <c r="M274" s="203">
        <f t="shared" si="205"/>
        <v>-8018.2478923143899</v>
      </c>
      <c r="N274" s="203">
        <f t="shared" si="205"/>
        <v>-19568.925227182503</v>
      </c>
      <c r="O274" s="203">
        <f t="shared" si="205"/>
        <v>-3945.9102687324894</v>
      </c>
      <c r="P274" s="203">
        <f t="shared" si="205"/>
        <v>-2040.1022683878082</v>
      </c>
      <c r="Q274" s="226"/>
      <c r="R274" s="226"/>
      <c r="S274" s="227"/>
      <c r="T274" s="228"/>
      <c r="U274" s="228"/>
      <c r="V274" s="226"/>
      <c r="W274" s="203">
        <f t="shared" si="202"/>
        <v>-8320.6757562631683</v>
      </c>
      <c r="X274" s="19">
        <f t="shared" si="202"/>
        <v>-12151.326210742995</v>
      </c>
      <c r="Y274" s="217"/>
      <c r="Z274" s="217"/>
    </row>
    <row r="275" spans="1:26" s="182" customFormat="1" x14ac:dyDescent="0.3">
      <c r="A275" s="144" t="s">
        <v>326</v>
      </c>
      <c r="B275" s="13" t="s">
        <v>139</v>
      </c>
      <c r="C275" s="144">
        <f t="shared" ref="C275:P275" si="206">SUM(C156,C163,C170,C177,C184,C191,C198)</f>
        <v>193467</v>
      </c>
      <c r="D275" s="219">
        <f t="shared" si="206"/>
        <v>193539</v>
      </c>
      <c r="E275" s="219">
        <f t="shared" si="206"/>
        <v>186378</v>
      </c>
      <c r="F275" s="219">
        <f t="shared" si="206"/>
        <v>191321</v>
      </c>
      <c r="G275" s="219">
        <f t="shared" si="206"/>
        <v>199999</v>
      </c>
      <c r="H275" s="219">
        <f t="shared" si="206"/>
        <v>196495</v>
      </c>
      <c r="I275" s="219">
        <f t="shared" si="206"/>
        <v>206722</v>
      </c>
      <c r="J275" s="219">
        <f t="shared" si="206"/>
        <v>219563</v>
      </c>
      <c r="K275" s="219">
        <f t="shared" si="206"/>
        <v>224066</v>
      </c>
      <c r="L275" s="219">
        <f t="shared" si="206"/>
        <v>232591</v>
      </c>
      <c r="M275" s="219">
        <f t="shared" si="206"/>
        <v>238989</v>
      </c>
      <c r="N275" s="219">
        <f t="shared" si="206"/>
        <v>230952</v>
      </c>
      <c r="O275" s="219">
        <f t="shared" si="206"/>
        <v>232561</v>
      </c>
      <c r="P275" s="219">
        <f t="shared" si="206"/>
        <v>231350</v>
      </c>
      <c r="Q275" s="220"/>
      <c r="R275" s="220"/>
      <c r="S275" s="221"/>
      <c r="T275" s="222"/>
      <c r="U275" s="222"/>
      <c r="V275" s="220"/>
      <c r="W275" s="219">
        <f>SUM(W156,W163,W170,W177,W184,W191,W198)</f>
        <v>231621.00000000003</v>
      </c>
      <c r="X275" s="223">
        <f>SUM(X156,X163,X170,X177,X184,X191,X198)</f>
        <v>231621.00000000003</v>
      </c>
      <c r="Y275" s="217"/>
      <c r="Z275" s="217"/>
    </row>
    <row r="276" spans="1:26" s="182" customFormat="1" x14ac:dyDescent="0.3">
      <c r="A276" s="205" t="s">
        <v>276</v>
      </c>
      <c r="B276" s="15"/>
      <c r="C276" s="22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90"/>
      <c r="R276" s="90"/>
      <c r="S276" s="157"/>
      <c r="T276" s="121"/>
      <c r="U276" s="121"/>
      <c r="V276" s="90"/>
      <c r="W276" s="121"/>
      <c r="X276" s="156"/>
      <c r="Y276" s="217"/>
      <c r="Z276" s="217"/>
    </row>
    <row r="277" spans="1:26" s="182" customFormat="1" x14ac:dyDescent="0.3">
      <c r="A277" s="205"/>
      <c r="B277" s="17" t="s">
        <v>138</v>
      </c>
      <c r="C277" s="205">
        <f t="shared" ref="C277:P277" si="207">SUM(C158,C165,C172,C179,C186,C193,C200)</f>
        <v>7538070.9000000004</v>
      </c>
      <c r="D277" s="181">
        <f t="shared" si="207"/>
        <v>8222427.1999999993</v>
      </c>
      <c r="E277" s="181">
        <f t="shared" si="207"/>
        <v>7111080.7000000002</v>
      </c>
      <c r="F277" s="181">
        <f t="shared" si="207"/>
        <v>7666774.8000000007</v>
      </c>
      <c r="G277" s="181">
        <f t="shared" si="207"/>
        <v>8761911.5</v>
      </c>
      <c r="H277" s="181">
        <f t="shared" si="207"/>
        <v>7898332.7000000002</v>
      </c>
      <c r="I277" s="181">
        <f t="shared" si="207"/>
        <v>7824913.4000000004</v>
      </c>
      <c r="J277" s="181">
        <f t="shared" si="207"/>
        <v>9194280.2000000011</v>
      </c>
      <c r="K277" s="181">
        <f t="shared" si="207"/>
        <v>8562131.8000000007</v>
      </c>
      <c r="L277" s="181">
        <f t="shared" si="207"/>
        <v>9181236.5999999996</v>
      </c>
      <c r="M277" s="181">
        <f t="shared" si="207"/>
        <v>9352552.5999999996</v>
      </c>
      <c r="N277" s="181">
        <f t="shared" si="207"/>
        <v>9351558.9000000004</v>
      </c>
      <c r="O277" s="181">
        <f t="shared" si="207"/>
        <v>8601788.5</v>
      </c>
      <c r="P277" s="181">
        <f t="shared" si="207"/>
        <v>9220959.9999999981</v>
      </c>
      <c r="Q277" s="90"/>
      <c r="R277" s="90"/>
      <c r="S277" s="157"/>
      <c r="T277" s="121"/>
      <c r="U277" s="121"/>
      <c r="V277" s="90"/>
      <c r="W277" s="181">
        <f t="shared" ref="W277:X280" si="208">SUM(W158,W165,W172,W179,W186,W193,W200)</f>
        <v>9091614.540000001</v>
      </c>
      <c r="X277" s="206">
        <f t="shared" si="208"/>
        <v>9091614.540000001</v>
      </c>
      <c r="Y277" s="217"/>
      <c r="Z277" s="217"/>
    </row>
    <row r="278" spans="1:26" s="182" customFormat="1" x14ac:dyDescent="0.3">
      <c r="A278" s="205"/>
      <c r="B278" s="21" t="s">
        <v>327</v>
      </c>
      <c r="C278" s="205">
        <f t="shared" ref="C278:P278" si="209">SUM(C159,C166,C173,C180,C187,C194,C201)</f>
        <v>104.5534550535818</v>
      </c>
      <c r="D278" s="181">
        <f t="shared" si="209"/>
        <v>103.66696352884964</v>
      </c>
      <c r="E278" s="181">
        <f t="shared" si="209"/>
        <v>101.50960911983503</v>
      </c>
      <c r="F278" s="181">
        <f t="shared" si="209"/>
        <v>101.71067203743799</v>
      </c>
      <c r="G278" s="181">
        <f t="shared" si="209"/>
        <v>101.26831058082472</v>
      </c>
      <c r="H278" s="181">
        <f t="shared" si="209"/>
        <v>100.99155019653639</v>
      </c>
      <c r="I278" s="181">
        <f t="shared" si="209"/>
        <v>102.6080458898625</v>
      </c>
      <c r="J278" s="181">
        <f t="shared" si="209"/>
        <v>101.96176497757172</v>
      </c>
      <c r="K278" s="181">
        <f t="shared" si="209"/>
        <v>99.908644287523302</v>
      </c>
      <c r="L278" s="181">
        <f t="shared" si="209"/>
        <v>99.524633603929459</v>
      </c>
      <c r="M278" s="181">
        <f t="shared" si="209"/>
        <v>102.65958810803646</v>
      </c>
      <c r="N278" s="181">
        <f t="shared" si="209"/>
        <v>103.8559562473295</v>
      </c>
      <c r="O278" s="181">
        <f t="shared" si="209"/>
        <v>100.75859119780154</v>
      </c>
      <c r="P278" s="181">
        <f t="shared" si="209"/>
        <v>100.75126729807633</v>
      </c>
      <c r="Q278" s="90"/>
      <c r="R278" s="90"/>
      <c r="S278" s="157"/>
      <c r="T278" s="121"/>
      <c r="U278" s="121"/>
      <c r="V278" s="90"/>
      <c r="W278" s="181">
        <f t="shared" si="208"/>
        <v>100.7</v>
      </c>
      <c r="X278" s="206">
        <f t="shared" si="208"/>
        <v>103.36</v>
      </c>
      <c r="Y278" s="217"/>
      <c r="Z278" s="217"/>
    </row>
    <row r="279" spans="1:26" s="182" customFormat="1" x14ac:dyDescent="0.3">
      <c r="A279" s="205"/>
      <c r="B279" s="17" t="s">
        <v>297</v>
      </c>
      <c r="C279" s="205">
        <f t="shared" ref="C279:P279" si="210">SUM(C160,C167,C174,C181,C188,C195,C202)</f>
        <v>6562322.1765000001</v>
      </c>
      <c r="D279" s="181">
        <f t="shared" si="210"/>
        <v>6538311.0511999996</v>
      </c>
      <c r="E279" s="181">
        <f t="shared" si="210"/>
        <v>6433270.0438000001</v>
      </c>
      <c r="F279" s="181">
        <f t="shared" si="210"/>
        <v>6478752.6564999996</v>
      </c>
      <c r="G279" s="181">
        <f t="shared" si="210"/>
        <v>6484003.1366000008</v>
      </c>
      <c r="H279" s="181">
        <f t="shared" si="210"/>
        <v>6493839.5917000007</v>
      </c>
      <c r="I279" s="181">
        <f t="shared" si="210"/>
        <v>6615016.7680000002</v>
      </c>
      <c r="J279" s="181">
        <f t="shared" si="210"/>
        <v>6590720.0873000007</v>
      </c>
      <c r="K279" s="181">
        <f t="shared" si="210"/>
        <v>6478479.8267999999</v>
      </c>
      <c r="L279" s="181">
        <f t="shared" si="210"/>
        <v>6478731.9839999992</v>
      </c>
      <c r="M279" s="181">
        <f t="shared" si="210"/>
        <v>6700504.4658000004</v>
      </c>
      <c r="N279" s="181">
        <f t="shared" si="210"/>
        <v>6803106.5352999996</v>
      </c>
      <c r="O279" s="181">
        <f t="shared" si="210"/>
        <v>6622039.1024999991</v>
      </c>
      <c r="P279" s="181">
        <f t="shared" si="210"/>
        <v>6642124.1185935568</v>
      </c>
      <c r="Q279" s="90"/>
      <c r="R279" s="90"/>
      <c r="S279" s="157"/>
      <c r="T279" s="121"/>
      <c r="U279" s="121"/>
      <c r="V279" s="90"/>
      <c r="W279" s="181">
        <f t="shared" si="208"/>
        <v>6723056.3249632884</v>
      </c>
      <c r="X279" s="206">
        <f t="shared" si="208"/>
        <v>6900646.4920377908</v>
      </c>
      <c r="Y279" s="217"/>
      <c r="Z279" s="217"/>
    </row>
    <row r="280" spans="1:26" s="182" customFormat="1" x14ac:dyDescent="0.3">
      <c r="A280" s="18"/>
      <c r="B280" s="19" t="s">
        <v>298</v>
      </c>
      <c r="C280" s="18">
        <f t="shared" ref="C280:P280" si="211">SUM(C161,C168,C175,C182,C189,C196,C203)</f>
        <v>40904.596074785397</v>
      </c>
      <c r="D280" s="203">
        <f t="shared" si="211"/>
        <v>54047.697674238967</v>
      </c>
      <c r="E280" s="203">
        <f t="shared" si="211"/>
        <v>35969.935706995151</v>
      </c>
      <c r="F280" s="203">
        <f t="shared" si="211"/>
        <v>45949.235775820249</v>
      </c>
      <c r="G280" s="203">
        <f t="shared" si="211"/>
        <v>61816.348976610905</v>
      </c>
      <c r="H280" s="203">
        <f t="shared" si="211"/>
        <v>48547.969641263779</v>
      </c>
      <c r="I280" s="203">
        <f t="shared" si="211"/>
        <v>50864.244812860663</v>
      </c>
      <c r="J280" s="203">
        <f t="shared" si="211"/>
        <v>74123.024775307742</v>
      </c>
      <c r="K280" s="203">
        <f t="shared" si="211"/>
        <v>69371.501104046503</v>
      </c>
      <c r="L280" s="203">
        <f t="shared" si="211"/>
        <v>79160.147195154539</v>
      </c>
      <c r="M280" s="203">
        <f t="shared" si="211"/>
        <v>78906.365108665821</v>
      </c>
      <c r="N280" s="203">
        <f t="shared" si="211"/>
        <v>72756.75260829636</v>
      </c>
      <c r="O280" s="203">
        <f t="shared" si="211"/>
        <v>68005.359523996391</v>
      </c>
      <c r="P280" s="203">
        <f t="shared" si="211"/>
        <v>70029.822006091999</v>
      </c>
      <c r="Q280" s="226"/>
      <c r="R280" s="226"/>
      <c r="S280" s="227"/>
      <c r="T280" s="228"/>
      <c r="U280" s="228"/>
      <c r="V280" s="226"/>
      <c r="W280" s="203">
        <f t="shared" si="208"/>
        <v>71205.549723935896</v>
      </c>
      <c r="X280" s="19">
        <f t="shared" si="208"/>
        <v>66981.775514099689</v>
      </c>
      <c r="Y280" s="217"/>
      <c r="Z280" s="217"/>
    </row>
    <row r="281" spans="1:26" s="182" customFormat="1" x14ac:dyDescent="0.3">
      <c r="A281" s="144" t="s">
        <v>326</v>
      </c>
      <c r="B281" s="13" t="s">
        <v>139</v>
      </c>
      <c r="C281" s="144">
        <f t="shared" ref="C281:P281" si="212">SUM(C275,C149)</f>
        <v>286041.65766030306</v>
      </c>
      <c r="D281" s="219">
        <f t="shared" si="212"/>
        <v>260565.18737285904</v>
      </c>
      <c r="E281" s="219">
        <f t="shared" si="212"/>
        <v>236485.36909027331</v>
      </c>
      <c r="F281" s="219">
        <f t="shared" si="212"/>
        <v>240472.69009454123</v>
      </c>
      <c r="G281" s="219">
        <f t="shared" si="212"/>
        <v>256491.08966045346</v>
      </c>
      <c r="H281" s="219">
        <f t="shared" si="212"/>
        <v>264785.46639894415</v>
      </c>
      <c r="I281" s="219">
        <f t="shared" si="212"/>
        <v>282802.83335015445</v>
      </c>
      <c r="J281" s="219">
        <f t="shared" si="212"/>
        <v>300749.55841881351</v>
      </c>
      <c r="K281" s="219">
        <f t="shared" si="212"/>
        <v>292616.01151117752</v>
      </c>
      <c r="L281" s="219">
        <f t="shared" si="212"/>
        <v>306015.06358017132</v>
      </c>
      <c r="M281" s="219">
        <f t="shared" si="212"/>
        <v>325593.89710203552</v>
      </c>
      <c r="N281" s="219">
        <f t="shared" si="212"/>
        <v>318344.00556095626</v>
      </c>
      <c r="O281" s="219">
        <f t="shared" si="212"/>
        <v>301390.84752136038</v>
      </c>
      <c r="P281" s="219">
        <f t="shared" si="212"/>
        <v>308944.84650484897</v>
      </c>
      <c r="Q281" s="220"/>
      <c r="R281" s="220"/>
      <c r="S281" s="221"/>
      <c r="T281" s="222"/>
      <c r="U281" s="222"/>
      <c r="V281" s="220"/>
      <c r="W281" s="219">
        <f>SUM(W275,W149)</f>
        <v>309559.89986238856</v>
      </c>
      <c r="X281" s="223">
        <f>SUM(X275,X149)</f>
        <v>309559.89986238856</v>
      </c>
      <c r="Y281" s="217"/>
      <c r="Z281" s="217"/>
    </row>
    <row r="282" spans="1:26" s="182" customFormat="1" x14ac:dyDescent="0.3">
      <c r="A282" s="205" t="s">
        <v>276</v>
      </c>
      <c r="B282" s="15"/>
      <c r="C282" s="22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90"/>
      <c r="R282" s="90"/>
      <c r="S282" s="157"/>
      <c r="T282" s="121"/>
      <c r="U282" s="121"/>
      <c r="V282" s="90"/>
      <c r="W282" s="121"/>
      <c r="X282" s="156"/>
      <c r="Y282" s="217"/>
      <c r="Z282" s="217"/>
    </row>
    <row r="283" spans="1:26" s="182" customFormat="1" x14ac:dyDescent="0.3">
      <c r="A283" s="205" t="s">
        <v>330</v>
      </c>
      <c r="B283" s="17" t="s">
        <v>138</v>
      </c>
      <c r="C283" s="205">
        <f t="shared" ref="C283:P283" si="213">SUM(C277,C151)</f>
        <v>7885225.8662261367</v>
      </c>
      <c r="D283" s="181">
        <f t="shared" si="213"/>
        <v>8453667.5464363638</v>
      </c>
      <c r="E283" s="181">
        <f t="shared" si="213"/>
        <v>7302490.8499248438</v>
      </c>
      <c r="F283" s="181">
        <f t="shared" si="213"/>
        <v>7838805.715330895</v>
      </c>
      <c r="G283" s="181">
        <f t="shared" si="213"/>
        <v>8952854.7630523331</v>
      </c>
      <c r="H283" s="181">
        <f t="shared" si="213"/>
        <v>8115496.3831486423</v>
      </c>
      <c r="I283" s="181">
        <f t="shared" si="213"/>
        <v>8007507.4000403713</v>
      </c>
      <c r="J283" s="181">
        <f t="shared" si="213"/>
        <v>9430533.0849987492</v>
      </c>
      <c r="K283" s="181">
        <f t="shared" si="213"/>
        <v>8750644.3316557389</v>
      </c>
      <c r="L283" s="181">
        <f t="shared" si="213"/>
        <v>9406648.4751911256</v>
      </c>
      <c r="M283" s="181">
        <f t="shared" si="213"/>
        <v>9558672.2551028449</v>
      </c>
      <c r="N283" s="181">
        <f t="shared" si="213"/>
        <v>9574408.5141804386</v>
      </c>
      <c r="O283" s="181">
        <f t="shared" si="213"/>
        <v>8779369.5066051092</v>
      </c>
      <c r="P283" s="181">
        <f t="shared" si="213"/>
        <v>9439777.4671436716</v>
      </c>
      <c r="Q283" s="90"/>
      <c r="R283" s="90"/>
      <c r="S283" s="157"/>
      <c r="T283" s="121"/>
      <c r="U283" s="121"/>
      <c r="V283" s="90"/>
      <c r="W283" s="181">
        <f t="shared" ref="W283:X286" si="214">SUM(W277,W151)</f>
        <v>9300490.7916312031</v>
      </c>
      <c r="X283" s="206">
        <f t="shared" si="214"/>
        <v>9300490.7916312031</v>
      </c>
      <c r="Y283" s="217"/>
      <c r="Z283" s="217"/>
    </row>
    <row r="284" spans="1:26" s="182" customFormat="1" x14ac:dyDescent="0.3">
      <c r="A284" s="205"/>
      <c r="B284" s="21" t="s">
        <v>327</v>
      </c>
      <c r="C284" s="205">
        <f t="shared" ref="C284:P284" si="215">SUM(C278,C152)</f>
        <v>106.2534550535818</v>
      </c>
      <c r="D284" s="181">
        <f t="shared" si="215"/>
        <v>105.36696352884964</v>
      </c>
      <c r="E284" s="181">
        <f t="shared" si="215"/>
        <v>103.20960911983504</v>
      </c>
      <c r="F284" s="181">
        <f t="shared" si="215"/>
        <v>103.41067203743799</v>
      </c>
      <c r="G284" s="181">
        <f t="shared" si="215"/>
        <v>103.06831058082471</v>
      </c>
      <c r="H284" s="181">
        <f t="shared" si="215"/>
        <v>102.29155019653639</v>
      </c>
      <c r="I284" s="181">
        <f t="shared" si="215"/>
        <v>104.20804588986249</v>
      </c>
      <c r="J284" s="181">
        <f t="shared" si="215"/>
        <v>103.96176497757172</v>
      </c>
      <c r="K284" s="181">
        <f t="shared" si="215"/>
        <v>102.2086442875233</v>
      </c>
      <c r="L284" s="181">
        <f t="shared" si="215"/>
        <v>102.02463360392946</v>
      </c>
      <c r="M284" s="181">
        <f t="shared" si="215"/>
        <v>105.15958810803646</v>
      </c>
      <c r="N284" s="181">
        <f t="shared" si="215"/>
        <v>105.9559562473295</v>
      </c>
      <c r="O284" s="181">
        <f t="shared" si="215"/>
        <v>103.35859119780153</v>
      </c>
      <c r="P284" s="181">
        <f t="shared" si="215"/>
        <v>103.40126729807633</v>
      </c>
      <c r="Q284" s="90"/>
      <c r="R284" s="90"/>
      <c r="S284" s="157"/>
      <c r="T284" s="121"/>
      <c r="U284" s="121"/>
      <c r="V284" s="90"/>
      <c r="W284" s="181">
        <f t="shared" si="214"/>
        <v>103.7</v>
      </c>
      <c r="X284" s="206">
        <f t="shared" si="214"/>
        <v>106.66</v>
      </c>
      <c r="Y284" s="217"/>
      <c r="Z284" s="217"/>
    </row>
    <row r="285" spans="1:26" s="182" customFormat="1" x14ac:dyDescent="0.3">
      <c r="A285" s="205"/>
      <c r="B285" s="17" t="s">
        <v>297</v>
      </c>
      <c r="C285" s="205">
        <f t="shared" ref="C285:P285" si="216">SUM(C279,C153)</f>
        <v>6669023.0760000004</v>
      </c>
      <c r="D285" s="181">
        <f t="shared" si="216"/>
        <v>6645530.6359999999</v>
      </c>
      <c r="E285" s="181">
        <f t="shared" si="216"/>
        <v>6541009.1945000002</v>
      </c>
      <c r="F285" s="181">
        <f t="shared" si="216"/>
        <v>6587039.0269999998</v>
      </c>
      <c r="G285" s="181">
        <f t="shared" si="216"/>
        <v>6599253.4610000011</v>
      </c>
      <c r="H285" s="181">
        <f t="shared" si="216"/>
        <v>6577430.6590000009</v>
      </c>
      <c r="I285" s="181">
        <f t="shared" si="216"/>
        <v>6718166.8352000006</v>
      </c>
      <c r="J285" s="181">
        <f t="shared" si="216"/>
        <v>6719998.3533000005</v>
      </c>
      <c r="K285" s="181">
        <f t="shared" si="216"/>
        <v>6627621.1118999999</v>
      </c>
      <c r="L285" s="181">
        <f t="shared" si="216"/>
        <v>6641473.9039999992</v>
      </c>
      <c r="M285" s="181">
        <f t="shared" si="216"/>
        <v>6863677.3508000001</v>
      </c>
      <c r="N285" s="181">
        <f t="shared" si="216"/>
        <v>6940667.4825999998</v>
      </c>
      <c r="O285" s="181">
        <f t="shared" si="216"/>
        <v>6792915.8630999988</v>
      </c>
      <c r="P285" s="181">
        <f t="shared" si="216"/>
        <v>6816827.9152435567</v>
      </c>
      <c r="Q285" s="90"/>
      <c r="R285" s="90"/>
      <c r="S285" s="157"/>
      <c r="T285" s="121"/>
      <c r="U285" s="121"/>
      <c r="V285" s="90"/>
      <c r="W285" s="181">
        <f t="shared" si="214"/>
        <v>6923345.987077388</v>
      </c>
      <c r="X285" s="206">
        <f t="shared" si="214"/>
        <v>7120965.1203633007</v>
      </c>
      <c r="Y285" s="217"/>
      <c r="Z285" s="217"/>
    </row>
    <row r="286" spans="1:26" s="182" customFormat="1" x14ac:dyDescent="0.3">
      <c r="A286" s="18"/>
      <c r="B286" s="19" t="s">
        <v>298</v>
      </c>
      <c r="C286" s="18">
        <f t="shared" ref="C286:P286" si="217">SUM(C280,C154)</f>
        <v>105025.68053508847</v>
      </c>
      <c r="D286" s="203">
        <f t="shared" si="217"/>
        <v>89995.744525358881</v>
      </c>
      <c r="E286" s="203">
        <f t="shared" si="217"/>
        <v>57873.338645435993</v>
      </c>
      <c r="F286" s="203">
        <f t="shared" si="217"/>
        <v>64161.962870361473</v>
      </c>
      <c r="G286" s="203">
        <f t="shared" si="217"/>
        <v>84210.709524638325</v>
      </c>
      <c r="H286" s="203">
        <f t="shared" si="217"/>
        <v>90551.936889264558</v>
      </c>
      <c r="I286" s="203">
        <f t="shared" si="217"/>
        <v>83965.883496348426</v>
      </c>
      <c r="J286" s="203">
        <f t="shared" si="217"/>
        <v>110884.06223192197</v>
      </c>
      <c r="K286" s="203">
        <f t="shared" si="217"/>
        <v>83688.318033405827</v>
      </c>
      <c r="L286" s="203">
        <f t="shared" si="217"/>
        <v>99573.813381189029</v>
      </c>
      <c r="M286" s="203">
        <f t="shared" si="217"/>
        <v>96951.226496415606</v>
      </c>
      <c r="N286" s="203">
        <f t="shared" si="217"/>
        <v>106203.28863984083</v>
      </c>
      <c r="O286" s="203">
        <f t="shared" si="217"/>
        <v>70603.904487217238</v>
      </c>
      <c r="P286" s="203">
        <f t="shared" si="217"/>
        <v>85672.967571224639</v>
      </c>
      <c r="Q286" s="226"/>
      <c r="R286" s="226"/>
      <c r="S286" s="227"/>
      <c r="T286" s="228"/>
      <c r="U286" s="228"/>
      <c r="V286" s="226"/>
      <c r="W286" s="203">
        <f t="shared" si="214"/>
        <v>74409.501036287125</v>
      </c>
      <c r="X286" s="19">
        <f t="shared" si="214"/>
        <v>62712.231971447181</v>
      </c>
      <c r="Y286" s="217"/>
      <c r="Z286" s="217"/>
    </row>
    <row r="287" spans="1:26" s="182" customFormat="1" x14ac:dyDescent="0.3">
      <c r="A287" s="144" t="s">
        <v>326</v>
      </c>
      <c r="B287" s="13" t="s">
        <v>3</v>
      </c>
      <c r="C287" s="144">
        <f t="shared" ref="C287:P287" si="218">SUM(C232,C237,C242,C247)</f>
        <v>5691495.0367999999</v>
      </c>
      <c r="D287" s="219">
        <f t="shared" si="218"/>
        <v>5710156.2840299997</v>
      </c>
      <c r="E287" s="219">
        <f t="shared" si="218"/>
        <v>5559726.81721</v>
      </c>
      <c r="F287" s="219">
        <f t="shared" si="218"/>
        <v>5419354.0445400001</v>
      </c>
      <c r="G287" s="219">
        <f t="shared" si="218"/>
        <v>5497529.91218</v>
      </c>
      <c r="H287" s="219">
        <f t="shared" si="218"/>
        <v>5567077.3308199998</v>
      </c>
      <c r="I287" s="219">
        <f t="shared" si="218"/>
        <v>5567778.2514500003</v>
      </c>
      <c r="J287" s="219">
        <f t="shared" si="218"/>
        <v>5473215.2450999999</v>
      </c>
      <c r="K287" s="219">
        <f t="shared" si="218"/>
        <v>5475826.98936</v>
      </c>
      <c r="L287" s="219">
        <f t="shared" si="218"/>
        <v>5457632.6462200005</v>
      </c>
      <c r="M287" s="219">
        <f t="shared" si="218"/>
        <v>5425686.6158699999</v>
      </c>
      <c r="N287" s="219">
        <f t="shared" si="218"/>
        <v>5400485.9439300001</v>
      </c>
      <c r="O287" s="219">
        <f t="shared" si="218"/>
        <v>5071257.3335599992</v>
      </c>
      <c r="P287" s="219">
        <f t="shared" si="218"/>
        <v>4942539</v>
      </c>
      <c r="Q287" s="220"/>
      <c r="R287" s="220"/>
      <c r="S287" s="221"/>
      <c r="T287" s="222"/>
      <c r="U287" s="222"/>
      <c r="V287" s="220"/>
      <c r="W287" s="219">
        <f t="shared" ref="W287:X291" si="219">SUM(W232,W237,W242,W247)</f>
        <v>5138094.0924966671</v>
      </c>
      <c r="X287" s="223">
        <f t="shared" si="219"/>
        <v>5138094.0924966671</v>
      </c>
      <c r="Y287" s="217"/>
      <c r="Z287" s="217"/>
    </row>
    <row r="288" spans="1:26" s="182" customFormat="1" x14ac:dyDescent="0.3">
      <c r="A288" s="205" t="s">
        <v>115</v>
      </c>
      <c r="B288" s="15" t="s">
        <v>296</v>
      </c>
      <c r="C288" s="205">
        <f t="shared" ref="C288:P288" si="220">SUM(C233,C238,C243,C248)</f>
        <v>85.281952716996869</v>
      </c>
      <c r="D288" s="181">
        <f t="shared" si="220"/>
        <v>83.017832110945065</v>
      </c>
      <c r="E288" s="181">
        <f t="shared" si="220"/>
        <v>83.316534100606958</v>
      </c>
      <c r="F288" s="181">
        <f t="shared" si="220"/>
        <v>82.362184175683666</v>
      </c>
      <c r="G288" s="181">
        <f t="shared" si="220"/>
        <v>83.988871919809284</v>
      </c>
      <c r="H288" s="181">
        <f t="shared" si="220"/>
        <v>84.772229279150551</v>
      </c>
      <c r="I288" s="181">
        <f t="shared" si="220"/>
        <v>84.331748117707036</v>
      </c>
      <c r="J288" s="181">
        <f t="shared" si="220"/>
        <v>84.220536985481232</v>
      </c>
      <c r="K288" s="181">
        <f t="shared" si="220"/>
        <v>86.708807690008669</v>
      </c>
      <c r="L288" s="181">
        <f t="shared" si="220"/>
        <v>85.8</v>
      </c>
      <c r="M288" s="181">
        <f t="shared" si="220"/>
        <v>84.6</v>
      </c>
      <c r="N288" s="181">
        <f t="shared" si="220"/>
        <v>84.47</v>
      </c>
      <c r="O288" s="181">
        <f t="shared" si="220"/>
        <v>84.3</v>
      </c>
      <c r="P288" s="181">
        <f t="shared" si="220"/>
        <v>83.100000000000009</v>
      </c>
      <c r="Q288" s="90"/>
      <c r="R288" s="90"/>
      <c r="S288" s="157"/>
      <c r="T288" s="121"/>
      <c r="U288" s="121"/>
      <c r="V288" s="90"/>
      <c r="W288" s="181">
        <f t="shared" si="219"/>
        <v>80</v>
      </c>
      <c r="X288" s="206">
        <f t="shared" si="219"/>
        <v>74.899999999999991</v>
      </c>
      <c r="Y288" s="217"/>
      <c r="Z288" s="217"/>
    </row>
    <row r="289" spans="1:26" s="182" customFormat="1" x14ac:dyDescent="0.3">
      <c r="A289" s="205"/>
      <c r="B289" s="17" t="s">
        <v>297</v>
      </c>
      <c r="C289" s="205">
        <f t="shared" ref="C289:P289" si="221">SUM(C234,C239,C244,C249)</f>
        <v>5352741.8035411974</v>
      </c>
      <c r="D289" s="181">
        <f t="shared" si="221"/>
        <v>5235963.2293715505</v>
      </c>
      <c r="E289" s="181">
        <f t="shared" si="221"/>
        <v>5280266.248980578</v>
      </c>
      <c r="F289" s="181">
        <f t="shared" si="221"/>
        <v>5246295.2887278348</v>
      </c>
      <c r="G289" s="181">
        <f t="shared" si="221"/>
        <v>5377635.9637489291</v>
      </c>
      <c r="H289" s="181">
        <f t="shared" si="221"/>
        <v>5450923.9406496184</v>
      </c>
      <c r="I289" s="181">
        <f t="shared" si="221"/>
        <v>5436765.9283968462</v>
      </c>
      <c r="J289" s="181">
        <f t="shared" si="221"/>
        <v>5443942.4915359402</v>
      </c>
      <c r="K289" s="181">
        <f t="shared" si="221"/>
        <v>5622549.1340768067</v>
      </c>
      <c r="L289" s="181">
        <f t="shared" si="221"/>
        <v>5585302.6943999995</v>
      </c>
      <c r="M289" s="181">
        <f t="shared" si="221"/>
        <v>5521770.4283999996</v>
      </c>
      <c r="N289" s="181">
        <f t="shared" si="221"/>
        <v>5533225.3421100006</v>
      </c>
      <c r="O289" s="181">
        <f t="shared" si="221"/>
        <v>5540350.3532999996</v>
      </c>
      <c r="P289" s="181">
        <f t="shared" si="221"/>
        <v>5478447.3591</v>
      </c>
      <c r="Q289" s="90"/>
      <c r="R289" s="90"/>
      <c r="S289" s="157"/>
      <c r="T289" s="121"/>
      <c r="U289" s="121"/>
      <c r="V289" s="90"/>
      <c r="W289" s="181">
        <f t="shared" si="219"/>
        <v>5341057.6563759996</v>
      </c>
      <c r="X289" s="206">
        <f t="shared" si="219"/>
        <v>5000565.2307820292</v>
      </c>
      <c r="Y289" s="217"/>
      <c r="Z289" s="217"/>
    </row>
    <row r="290" spans="1:26" s="182" customFormat="1" x14ac:dyDescent="0.3">
      <c r="A290" s="205"/>
      <c r="B290" s="210" t="s">
        <v>300</v>
      </c>
      <c r="C290" s="205">
        <f t="shared" ref="C290:P290" si="222">SUM(C235,C240,C245,C250)</f>
        <v>338753.23325880303</v>
      </c>
      <c r="D290" s="181">
        <f t="shared" si="222"/>
        <v>474193.0546584492</v>
      </c>
      <c r="E290" s="181">
        <f t="shared" si="222"/>
        <v>279460.56822942232</v>
      </c>
      <c r="F290" s="181">
        <f t="shared" si="222"/>
        <v>173058.75581216451</v>
      </c>
      <c r="G290" s="181">
        <f t="shared" si="222"/>
        <v>119893.94843107162</v>
      </c>
      <c r="H290" s="181">
        <f t="shared" si="222"/>
        <v>116153.39017038108</v>
      </c>
      <c r="I290" s="181">
        <f t="shared" si="222"/>
        <v>131012.32305315384</v>
      </c>
      <c r="J290" s="181">
        <f t="shared" si="222"/>
        <v>29272.75356405988</v>
      </c>
      <c r="K290" s="181">
        <f t="shared" si="222"/>
        <v>-146722.14471680645</v>
      </c>
      <c r="L290" s="181">
        <f t="shared" si="222"/>
        <v>-127670.04817999978</v>
      </c>
      <c r="M290" s="181">
        <f t="shared" si="222"/>
        <v>-96083.81252999985</v>
      </c>
      <c r="N290" s="181">
        <f t="shared" si="222"/>
        <v>-132739.39817999976</v>
      </c>
      <c r="O290" s="181">
        <f t="shared" si="222"/>
        <v>-469093.0197400006</v>
      </c>
      <c r="P290" s="181">
        <f t="shared" si="222"/>
        <v>-535908.3591</v>
      </c>
      <c r="Q290" s="90"/>
      <c r="R290" s="90"/>
      <c r="S290" s="157"/>
      <c r="T290" s="121"/>
      <c r="U290" s="121"/>
      <c r="V290" s="90"/>
      <c r="W290" s="181">
        <f t="shared" si="219"/>
        <v>-202963.56387933277</v>
      </c>
      <c r="X290" s="206">
        <f t="shared" si="219"/>
        <v>137528.8617146372</v>
      </c>
      <c r="Y290" s="217"/>
      <c r="Z290" s="217"/>
    </row>
    <row r="291" spans="1:26" s="182" customFormat="1" x14ac:dyDescent="0.3">
      <c r="A291" s="18"/>
      <c r="B291" s="19" t="s">
        <v>298</v>
      </c>
      <c r="C291" s="18">
        <f t="shared" ref="C291:P291" si="223">SUM(C236,C241,C246,C251)</f>
        <v>53532.72956731866</v>
      </c>
      <c r="D291" s="203">
        <f t="shared" si="223"/>
        <v>178347.66704769331</v>
      </c>
      <c r="E291" s="203">
        <f t="shared" si="223"/>
        <v>28569.983974718023</v>
      </c>
      <c r="F291" s="203">
        <f t="shared" si="223"/>
        <v>-60106.469808205817</v>
      </c>
      <c r="G291" s="203">
        <f t="shared" si="223"/>
        <v>-120851.84539564012</v>
      </c>
      <c r="H291" s="203">
        <f t="shared" si="223"/>
        <v>-75087.52175021173</v>
      </c>
      <c r="I291" s="203">
        <f t="shared" si="223"/>
        <v>-15245.390402930949</v>
      </c>
      <c r="J291" s="203">
        <f t="shared" si="223"/>
        <v>-74581.33136198805</v>
      </c>
      <c r="K291" s="203">
        <f t="shared" si="223"/>
        <v>-184134.57374713983</v>
      </c>
      <c r="L291" s="203">
        <f t="shared" si="223"/>
        <v>-166023.29018984217</v>
      </c>
      <c r="M291" s="203">
        <f t="shared" si="223"/>
        <v>-75284.887056486725</v>
      </c>
      <c r="N291" s="203">
        <f t="shared" si="223"/>
        <v>-100079.95187206707</v>
      </c>
      <c r="O291" s="203">
        <f t="shared" si="223"/>
        <v>-351059.60362988967</v>
      </c>
      <c r="P291" s="203">
        <f t="shared" si="223"/>
        <v>-398052.38726693054</v>
      </c>
      <c r="Q291" s="226"/>
      <c r="R291" s="226"/>
      <c r="S291" s="227"/>
      <c r="T291" s="228"/>
      <c r="U291" s="228"/>
      <c r="V291" s="226"/>
      <c r="W291" s="203">
        <f t="shared" si="219"/>
        <v>-59923.515648624423</v>
      </c>
      <c r="X291" s="19">
        <f t="shared" si="219"/>
        <v>284626.36047501909</v>
      </c>
      <c r="Y291" s="217"/>
      <c r="Z291" s="217"/>
    </row>
    <row r="292" spans="1:26" s="182" customFormat="1" x14ac:dyDescent="0.3">
      <c r="A292" s="144" t="s">
        <v>326</v>
      </c>
      <c r="B292" s="13"/>
      <c r="C292" s="230"/>
      <c r="D292" s="222"/>
      <c r="E292" s="222"/>
      <c r="F292" s="222"/>
      <c r="G292" s="222"/>
      <c r="H292" s="222"/>
      <c r="I292" s="222"/>
      <c r="J292" s="222"/>
      <c r="K292" s="222"/>
      <c r="L292" s="222"/>
      <c r="M292" s="222"/>
      <c r="N292" s="222"/>
      <c r="O292" s="222"/>
      <c r="P292" s="220"/>
      <c r="Q292" s="220"/>
      <c r="R292" s="220"/>
      <c r="S292" s="221"/>
      <c r="T292" s="222"/>
      <c r="U292" s="222"/>
      <c r="V292" s="220"/>
      <c r="W292" s="222"/>
      <c r="X292" s="155"/>
      <c r="Y292" s="217"/>
      <c r="Z292" s="217"/>
    </row>
    <row r="293" spans="1:26" s="182" customFormat="1" x14ac:dyDescent="0.3">
      <c r="A293" s="205" t="s">
        <v>328</v>
      </c>
      <c r="B293" s="15"/>
      <c r="C293" s="22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90"/>
      <c r="Q293" s="90"/>
      <c r="R293" s="90"/>
      <c r="S293" s="157"/>
      <c r="T293" s="121"/>
      <c r="U293" s="121"/>
      <c r="V293" s="90"/>
      <c r="W293" s="121"/>
      <c r="X293" s="156"/>
      <c r="Y293" s="217"/>
      <c r="Z293" s="217"/>
    </row>
    <row r="294" spans="1:26" s="182" customFormat="1" x14ac:dyDescent="0.3">
      <c r="A294" s="205" t="s">
        <v>329</v>
      </c>
      <c r="B294" s="17"/>
      <c r="C294" s="22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90"/>
      <c r="Q294" s="90"/>
      <c r="R294" s="90"/>
      <c r="S294" s="157"/>
      <c r="T294" s="121"/>
      <c r="U294" s="121"/>
      <c r="V294" s="90"/>
      <c r="W294" s="121"/>
      <c r="X294" s="156"/>
      <c r="Y294" s="217"/>
      <c r="Z294" s="217"/>
    </row>
    <row r="295" spans="1:26" s="182" customFormat="1" x14ac:dyDescent="0.3">
      <c r="A295" s="24"/>
      <c r="B295" s="210"/>
      <c r="C295" s="22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90"/>
      <c r="Q295" s="90"/>
      <c r="R295" s="90"/>
      <c r="S295" s="157"/>
      <c r="T295" s="121"/>
      <c r="U295" s="121"/>
      <c r="V295" s="90"/>
      <c r="W295" s="121"/>
      <c r="X295" s="156"/>
      <c r="Y295" s="217"/>
      <c r="Z295" s="217"/>
    </row>
    <row r="296" spans="1:26" s="182" customFormat="1" x14ac:dyDescent="0.3">
      <c r="A296" s="18"/>
      <c r="B296" s="19" t="s">
        <v>298</v>
      </c>
      <c r="C296" s="18">
        <f t="shared" ref="C296:P296" si="224">SUM(C291,C257,C262)</f>
        <v>131803.12028971192</v>
      </c>
      <c r="D296" s="203">
        <f t="shared" si="224"/>
        <v>342984.99748953583</v>
      </c>
      <c r="E296" s="203">
        <f t="shared" si="224"/>
        <v>169694.13962194356</v>
      </c>
      <c r="F296" s="203">
        <f t="shared" si="224"/>
        <v>74940.104546124756</v>
      </c>
      <c r="G296" s="203">
        <f t="shared" si="224"/>
        <v>79497.358383464103</v>
      </c>
      <c r="H296" s="203">
        <f t="shared" si="224"/>
        <v>159863.45760215016</v>
      </c>
      <c r="I296" s="203">
        <f t="shared" si="224"/>
        <v>214495.63992141496</v>
      </c>
      <c r="J296" s="203">
        <f t="shared" si="224"/>
        <v>146451.25093466608</v>
      </c>
      <c r="K296" s="203">
        <f t="shared" si="224"/>
        <v>32552.569629053702</v>
      </c>
      <c r="L296" s="203">
        <f t="shared" si="224"/>
        <v>-30003.450478451545</v>
      </c>
      <c r="M296" s="203">
        <f t="shared" si="224"/>
        <v>66933.313070465665</v>
      </c>
      <c r="N296" s="203">
        <f t="shared" si="224"/>
        <v>-23567.456730583144</v>
      </c>
      <c r="O296" s="203">
        <f t="shared" si="224"/>
        <v>-278598.90383501147</v>
      </c>
      <c r="P296" s="203">
        <f t="shared" si="224"/>
        <v>-468488.25531534833</v>
      </c>
      <c r="Q296" s="226"/>
      <c r="R296" s="226"/>
      <c r="S296" s="227"/>
      <c r="T296" s="228"/>
      <c r="U296" s="228"/>
      <c r="V296" s="226"/>
      <c r="W296" s="203">
        <f>SUM(W291,W257,W262)</f>
        <v>-71954.016459581238</v>
      </c>
      <c r="X296" s="19">
        <f>SUM(X291,X257,X262)</f>
        <v>432607.91682270076</v>
      </c>
      <c r="Y296" s="217"/>
      <c r="Z296" s="217"/>
    </row>
    <row r="297" spans="1:26" s="182" customFormat="1" x14ac:dyDescent="0.3">
      <c r="A297" s="144" t="s">
        <v>90</v>
      </c>
      <c r="B297" s="13"/>
      <c r="C297" s="230"/>
      <c r="D297" s="222"/>
      <c r="E297" s="222"/>
      <c r="F297" s="222"/>
      <c r="G297" s="222"/>
      <c r="H297" s="222"/>
      <c r="I297" s="222"/>
      <c r="J297" s="222"/>
      <c r="K297" s="222"/>
      <c r="L297" s="222"/>
      <c r="M297" s="222"/>
      <c r="N297" s="222"/>
      <c r="O297" s="222"/>
      <c r="P297" s="220"/>
      <c r="Q297" s="220"/>
      <c r="R297" s="220"/>
      <c r="S297" s="221"/>
      <c r="T297" s="222"/>
      <c r="U297" s="222"/>
      <c r="V297" s="220"/>
      <c r="W297" s="222"/>
      <c r="X297" s="155"/>
      <c r="Y297" s="217"/>
      <c r="Z297" s="217"/>
    </row>
    <row r="298" spans="1:26" s="182" customFormat="1" x14ac:dyDescent="0.3">
      <c r="A298" s="205"/>
      <c r="B298" s="15"/>
      <c r="C298" s="22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90"/>
      <c r="Q298" s="90"/>
      <c r="R298" s="90"/>
      <c r="S298" s="157"/>
      <c r="T298" s="121"/>
      <c r="U298" s="121"/>
      <c r="V298" s="90"/>
      <c r="W298" s="121"/>
      <c r="X298" s="156"/>
      <c r="Y298" s="217"/>
      <c r="Z298" s="217"/>
    </row>
    <row r="299" spans="1:26" s="182" customFormat="1" x14ac:dyDescent="0.3">
      <c r="A299" s="205"/>
      <c r="B299" s="17"/>
      <c r="C299" s="22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90"/>
      <c r="Q299" s="90"/>
      <c r="R299" s="90"/>
      <c r="S299" s="157"/>
      <c r="T299" s="121"/>
      <c r="U299" s="121"/>
      <c r="V299" s="90"/>
      <c r="W299" s="121"/>
      <c r="X299" s="156"/>
      <c r="Y299" s="217"/>
      <c r="Z299" s="217"/>
    </row>
    <row r="300" spans="1:26" s="182" customFormat="1" x14ac:dyDescent="0.3">
      <c r="A300" s="205"/>
      <c r="B300" s="21"/>
      <c r="C300" s="22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90"/>
      <c r="Q300" s="90"/>
      <c r="R300" s="90"/>
      <c r="S300" s="157"/>
      <c r="T300" s="121"/>
      <c r="U300" s="121"/>
      <c r="V300" s="90"/>
      <c r="W300" s="121"/>
      <c r="X300" s="156"/>
      <c r="Y300" s="217"/>
      <c r="Z300" s="217"/>
    </row>
    <row r="301" spans="1:26" s="182" customFormat="1" x14ac:dyDescent="0.3">
      <c r="A301" s="205"/>
      <c r="B301" s="17"/>
      <c r="C301" s="22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90"/>
      <c r="Q301" s="90"/>
      <c r="R301" s="90"/>
      <c r="S301" s="157"/>
      <c r="T301" s="121"/>
      <c r="U301" s="121"/>
      <c r="V301" s="90"/>
      <c r="W301" s="121"/>
      <c r="X301" s="156"/>
      <c r="Y301" s="217"/>
      <c r="Z301" s="217"/>
    </row>
    <row r="302" spans="1:26" s="182" customFormat="1" x14ac:dyDescent="0.3">
      <c r="A302" s="18"/>
      <c r="B302" s="19" t="s">
        <v>298</v>
      </c>
      <c r="C302" s="18">
        <f t="shared" ref="C302:P302" si="225">SUM(C268,C274,C286,C296)</f>
        <v>1802093.9720530384</v>
      </c>
      <c r="D302" s="203">
        <f t="shared" si="225"/>
        <v>1964888.8090509791</v>
      </c>
      <c r="E302" s="203">
        <f t="shared" si="225"/>
        <v>1692743.6778832409</v>
      </c>
      <c r="F302" s="203">
        <f t="shared" si="225"/>
        <v>1518920.3872571532</v>
      </c>
      <c r="G302" s="203">
        <f t="shared" si="225"/>
        <v>1601975.1631585436</v>
      </c>
      <c r="H302" s="203">
        <f t="shared" si="225"/>
        <v>1697254.4835034027</v>
      </c>
      <c r="I302" s="203">
        <f t="shared" si="225"/>
        <v>1293491.3244616159</v>
      </c>
      <c r="J302" s="203">
        <f t="shared" si="225"/>
        <v>1629966.5350710189</v>
      </c>
      <c r="K302" s="203">
        <f t="shared" si="225"/>
        <v>1268567.686756148</v>
      </c>
      <c r="L302" s="203">
        <f t="shared" si="225"/>
        <v>1312029.4919233376</v>
      </c>
      <c r="M302" s="203">
        <f t="shared" si="225"/>
        <v>1013081.3486270815</v>
      </c>
      <c r="N302" s="203">
        <f t="shared" si="225"/>
        <v>1381801.5314694329</v>
      </c>
      <c r="O302" s="203">
        <f t="shared" si="225"/>
        <v>965713.51871540979</v>
      </c>
      <c r="P302" s="203">
        <f t="shared" si="225"/>
        <v>866684.36781394505</v>
      </c>
      <c r="Q302" s="99"/>
      <c r="R302" s="99"/>
      <c r="S302" s="209"/>
      <c r="T302" s="203"/>
      <c r="U302" s="203"/>
      <c r="V302" s="99"/>
      <c r="W302" s="203">
        <f>SUM(W268,W274,W286,W296)</f>
        <v>1204364.7701425795</v>
      </c>
      <c r="X302" s="19">
        <f>SUM(X268,X274,X286,X296)</f>
        <v>1637260.9050485208</v>
      </c>
      <c r="Y302" s="217"/>
      <c r="Z302" s="217"/>
    </row>
    <row r="303" spans="1:26" x14ac:dyDescent="0.3">
      <c r="A303" s="86"/>
      <c r="X303">
        <f>X302/O302-1</f>
        <v>0.6953898576737354</v>
      </c>
    </row>
  </sheetData>
  <sheetProtection password="D6AD" sheet="1" objects="1" scenarios="1" selectLockedCells="1" selectUnlockedCells="1"/>
  <mergeCells count="4">
    <mergeCell ref="G73:G78"/>
    <mergeCell ref="Q73:Q78"/>
    <mergeCell ref="G61:G67"/>
    <mergeCell ref="Q61:Q67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60"/>
  <sheetViews>
    <sheetView topLeftCell="A427" zoomScale="80" zoomScaleNormal="80" workbookViewId="0">
      <selection activeCell="A14" sqref="A14:B15"/>
    </sheetView>
  </sheetViews>
  <sheetFormatPr baseColWidth="10" defaultRowHeight="14.4" x14ac:dyDescent="0.3"/>
  <cols>
    <col min="1" max="1" width="25.44140625" bestFit="1" customWidth="1"/>
    <col min="2" max="2" width="9.21875" customWidth="1"/>
    <col min="3" max="3" width="6.77734375" customWidth="1"/>
    <col min="4" max="4" width="9.33203125" customWidth="1"/>
    <col min="5" max="5" width="10.44140625" customWidth="1"/>
    <col min="6" max="6" width="11" customWidth="1"/>
    <col min="7" max="7" width="11.88671875" customWidth="1"/>
    <col min="10" max="10" width="16.33203125" bestFit="1" customWidth="1"/>
    <col min="11" max="11" width="16.5546875" customWidth="1"/>
  </cols>
  <sheetData>
    <row r="1" spans="16:22" x14ac:dyDescent="0.3">
      <c r="P1" s="65" t="s">
        <v>77</v>
      </c>
      <c r="Q1" s="9">
        <v>2019</v>
      </c>
      <c r="R1" s="9">
        <v>2020</v>
      </c>
      <c r="S1" s="9">
        <v>2021</v>
      </c>
      <c r="T1" s="9">
        <v>2022</v>
      </c>
      <c r="U1" s="9">
        <v>2023</v>
      </c>
      <c r="V1" s="9" t="s">
        <v>179</v>
      </c>
    </row>
    <row r="2" spans="16:22" x14ac:dyDescent="0.3">
      <c r="P2" s="65" t="s">
        <v>178</v>
      </c>
      <c r="Q2" s="79">
        <f>41.2+0.8</f>
        <v>42</v>
      </c>
      <c r="R2" s="79">
        <f>41+0.7</f>
        <v>41.7</v>
      </c>
      <c r="S2" s="79">
        <f>41.1+0.8</f>
        <v>41.9</v>
      </c>
      <c r="T2" s="79">
        <f>41.6+0.8</f>
        <v>42.4</v>
      </c>
      <c r="U2" s="79">
        <f>41.8+0.8</f>
        <v>42.599999999999994</v>
      </c>
      <c r="V2" s="9">
        <f>AVERAGE(Q2:U2)</f>
        <v>42.12</v>
      </c>
    </row>
    <row r="3" spans="16:22" x14ac:dyDescent="0.3">
      <c r="P3" s="65" t="s">
        <v>175</v>
      </c>
      <c r="Q3" s="79">
        <f>9.7-3.7+4.6</f>
        <v>10.599999999999998</v>
      </c>
      <c r="R3" s="79">
        <f>9.1-3.1+4.6</f>
        <v>10.6</v>
      </c>
      <c r="S3" s="79">
        <f>9.4-3.4+4.6</f>
        <v>10.6</v>
      </c>
      <c r="T3" s="79">
        <f>8.8-2.8+4.6</f>
        <v>10.600000000000001</v>
      </c>
      <c r="U3" s="79">
        <f>9.2-3.4+4.6</f>
        <v>10.399999999999999</v>
      </c>
      <c r="V3" s="9">
        <f t="shared" ref="V3:V8" si="0">AVERAGE(Q3:U3)</f>
        <v>10.559999999999999</v>
      </c>
    </row>
    <row r="4" spans="16:22" x14ac:dyDescent="0.3">
      <c r="P4" s="65" t="s">
        <v>174</v>
      </c>
      <c r="Q4" s="79">
        <v>3.7</v>
      </c>
      <c r="R4" s="79">
        <v>3.1</v>
      </c>
      <c r="S4" s="79">
        <v>3.4</v>
      </c>
      <c r="T4" s="79">
        <v>2.8</v>
      </c>
      <c r="U4" s="79">
        <v>3.4</v>
      </c>
      <c r="V4" s="9">
        <f t="shared" si="0"/>
        <v>3.28</v>
      </c>
    </row>
    <row r="5" spans="16:22" x14ac:dyDescent="0.3">
      <c r="P5" s="65" t="s">
        <v>176</v>
      </c>
      <c r="Q5" s="79">
        <v>40.5</v>
      </c>
      <c r="R5" s="79">
        <v>38.200000000000003</v>
      </c>
      <c r="S5" s="79">
        <v>39.799999999999997</v>
      </c>
      <c r="T5" s="79">
        <v>43.1</v>
      </c>
      <c r="U5" s="79">
        <v>44.8</v>
      </c>
      <c r="V5" s="9">
        <f t="shared" si="0"/>
        <v>41.279999999999994</v>
      </c>
    </row>
    <row r="6" spans="16:22" x14ac:dyDescent="0.3">
      <c r="P6" s="65" t="s">
        <v>196</v>
      </c>
      <c r="Q6" s="112">
        <f>Q2/SUM(Q2:Q5)</f>
        <v>0.43388429752066116</v>
      </c>
      <c r="R6" s="112">
        <f t="shared" ref="R6:U6" si="1">R2/SUM(R2:R5)</f>
        <v>0.44551282051282048</v>
      </c>
      <c r="S6" s="112">
        <f t="shared" si="1"/>
        <v>0.43782654127481718</v>
      </c>
      <c r="T6" s="112">
        <f t="shared" si="1"/>
        <v>0.42871587462082911</v>
      </c>
      <c r="U6" s="112">
        <f t="shared" si="1"/>
        <v>0.42094861660079053</v>
      </c>
      <c r="V6" s="130">
        <f t="shared" ref="V6" si="2">AVERAGE(Q6:U6)</f>
        <v>0.43337763010598368</v>
      </c>
    </row>
    <row r="7" spans="16:22" x14ac:dyDescent="0.3">
      <c r="P7" s="65" t="s">
        <v>197</v>
      </c>
      <c r="Q7" s="112">
        <f>(Q3+Q4)/SUM(Q2:Q5)</f>
        <v>0.14772727272727271</v>
      </c>
      <c r="R7" s="112">
        <f t="shared" ref="R7:U7" si="3">(R3+R4)/SUM(R2:R5)</f>
        <v>0.14636752136752135</v>
      </c>
      <c r="S7" s="112">
        <f t="shared" si="3"/>
        <v>0.14629049111807735</v>
      </c>
      <c r="T7" s="112">
        <f t="shared" si="3"/>
        <v>0.13549039433771487</v>
      </c>
      <c r="U7" s="112">
        <f t="shared" si="3"/>
        <v>0.13636363636363638</v>
      </c>
      <c r="V7" s="130">
        <f t="shared" si="0"/>
        <v>0.14244786318284453</v>
      </c>
    </row>
    <row r="8" spans="16:22" x14ac:dyDescent="0.3">
      <c r="P8" s="65" t="s">
        <v>198</v>
      </c>
      <c r="Q8" s="112">
        <f>Q5/SUM(Q2:Q5)</f>
        <v>0.41838842975206614</v>
      </c>
      <c r="R8" s="112">
        <f t="shared" ref="R8:U8" si="4">R5/SUM(R2:R5)</f>
        <v>0.40811965811965811</v>
      </c>
      <c r="S8" s="112">
        <f t="shared" si="4"/>
        <v>0.41588296760710558</v>
      </c>
      <c r="T8" s="112">
        <f t="shared" si="4"/>
        <v>0.43579373104145602</v>
      </c>
      <c r="U8" s="112">
        <f t="shared" si="4"/>
        <v>0.44268774703557312</v>
      </c>
      <c r="V8" s="130">
        <f t="shared" si="0"/>
        <v>0.42417450671117179</v>
      </c>
    </row>
    <row r="31" spans="16:22" x14ac:dyDescent="0.3">
      <c r="P31" s="65" t="s">
        <v>78</v>
      </c>
      <c r="Q31" s="9">
        <v>2019</v>
      </c>
      <c r="R31" s="9">
        <v>2020</v>
      </c>
      <c r="S31" s="9">
        <v>2021</v>
      </c>
      <c r="T31" s="9">
        <v>2022</v>
      </c>
      <c r="U31" s="9">
        <v>2023</v>
      </c>
      <c r="V31" s="9" t="s">
        <v>179</v>
      </c>
    </row>
    <row r="32" spans="16:22" x14ac:dyDescent="0.3">
      <c r="P32" s="65" t="s">
        <v>178</v>
      </c>
      <c r="Q32" s="79">
        <v>8.1</v>
      </c>
      <c r="R32" s="79">
        <v>8.1</v>
      </c>
      <c r="S32" s="79">
        <v>8.1</v>
      </c>
      <c r="T32" s="79">
        <v>8.1999999999999993</v>
      </c>
      <c r="U32" s="79">
        <v>8.1999999999999993</v>
      </c>
      <c r="V32" s="9">
        <f>AVERAGE(Q32:U32)</f>
        <v>8.14</v>
      </c>
    </row>
    <row r="33" spans="16:22" x14ac:dyDescent="0.3">
      <c r="P33" s="65" t="s">
        <v>175</v>
      </c>
      <c r="Q33" s="79">
        <v>0.5</v>
      </c>
      <c r="R33" s="79">
        <v>0.5</v>
      </c>
      <c r="S33" s="79">
        <v>0.5</v>
      </c>
      <c r="T33" s="79">
        <v>0.5</v>
      </c>
      <c r="U33" s="79">
        <v>0.5</v>
      </c>
      <c r="V33" s="9">
        <f t="shared" ref="V33:V38" si="5">AVERAGE(Q33:U33)</f>
        <v>0.5</v>
      </c>
    </row>
    <row r="34" spans="16:22" x14ac:dyDescent="0.3">
      <c r="P34" s="65" t="s">
        <v>174</v>
      </c>
      <c r="Q34" s="79">
        <v>0</v>
      </c>
      <c r="R34" s="79">
        <v>0</v>
      </c>
      <c r="S34" s="79">
        <v>0</v>
      </c>
      <c r="T34" s="79">
        <v>0</v>
      </c>
      <c r="U34" s="79">
        <v>0</v>
      </c>
      <c r="V34" s="9">
        <f t="shared" si="5"/>
        <v>0</v>
      </c>
    </row>
    <row r="35" spans="16:22" x14ac:dyDescent="0.3">
      <c r="P35" s="65" t="s">
        <v>176</v>
      </c>
      <c r="Q35" s="79">
        <v>0.4</v>
      </c>
      <c r="R35" s="79">
        <v>0.4</v>
      </c>
      <c r="S35" s="79">
        <v>0.5</v>
      </c>
      <c r="T35" s="79">
        <v>0.5</v>
      </c>
      <c r="U35" s="79">
        <v>0.3</v>
      </c>
      <c r="V35" s="9">
        <f t="shared" si="5"/>
        <v>0.42000000000000004</v>
      </c>
    </row>
    <row r="36" spans="16:22" x14ac:dyDescent="0.3">
      <c r="P36" s="65" t="s">
        <v>196</v>
      </c>
      <c r="Q36" s="112">
        <f>Q32/SUM(Q32:Q35)</f>
        <v>0.89999999999999991</v>
      </c>
      <c r="R36" s="112">
        <f t="shared" ref="R36" si="6">R32/SUM(R32:R35)</f>
        <v>0.89999999999999991</v>
      </c>
      <c r="S36" s="112">
        <f t="shared" ref="S36" si="7">S32/SUM(S32:S35)</f>
        <v>0.89010989010989006</v>
      </c>
      <c r="T36" s="112">
        <f t="shared" ref="T36" si="8">T32/SUM(T32:T35)</f>
        <v>0.89130434782608692</v>
      </c>
      <c r="U36" s="112">
        <f t="shared" ref="U36" si="9">U32/SUM(U32:U35)</f>
        <v>0.91111111111111098</v>
      </c>
      <c r="V36" s="130">
        <f t="shared" si="5"/>
        <v>0.89850506980941758</v>
      </c>
    </row>
    <row r="37" spans="16:22" x14ac:dyDescent="0.3">
      <c r="P37" s="65" t="s">
        <v>197</v>
      </c>
      <c r="Q37" s="112">
        <f>(Q33+Q34)/SUM(Q32:Q35)</f>
        <v>5.5555555555555552E-2</v>
      </c>
      <c r="R37" s="112">
        <f t="shared" ref="R37:U37" si="10">(R33+R34)/SUM(R32:R35)</f>
        <v>5.5555555555555552E-2</v>
      </c>
      <c r="S37" s="112">
        <f t="shared" si="10"/>
        <v>5.4945054945054944E-2</v>
      </c>
      <c r="T37" s="112">
        <f t="shared" si="10"/>
        <v>5.4347826086956527E-2</v>
      </c>
      <c r="U37" s="112">
        <f t="shared" si="10"/>
        <v>5.5555555555555552E-2</v>
      </c>
      <c r="V37" s="130">
        <f t="shared" si="5"/>
        <v>5.5191909539735629E-2</v>
      </c>
    </row>
    <row r="38" spans="16:22" x14ac:dyDescent="0.3">
      <c r="P38" s="65" t="s">
        <v>198</v>
      </c>
      <c r="Q38" s="112">
        <f>Q35/SUM(Q32:Q35)</f>
        <v>4.4444444444444446E-2</v>
      </c>
      <c r="R38" s="112">
        <f t="shared" ref="R38:U38" si="11">R35/SUM(R32:R35)</f>
        <v>4.4444444444444446E-2</v>
      </c>
      <c r="S38" s="112">
        <f t="shared" si="11"/>
        <v>5.4945054945054944E-2</v>
      </c>
      <c r="T38" s="112">
        <f t="shared" si="11"/>
        <v>5.4347826086956527E-2</v>
      </c>
      <c r="U38" s="112">
        <f t="shared" si="11"/>
        <v>3.3333333333333333E-2</v>
      </c>
      <c r="V38" s="130">
        <f t="shared" si="5"/>
        <v>4.6303020650846738E-2</v>
      </c>
    </row>
    <row r="59" spans="16:23" x14ac:dyDescent="0.3">
      <c r="P59" s="65" t="s">
        <v>80</v>
      </c>
      <c r="Q59" s="9">
        <v>2019</v>
      </c>
      <c r="R59" s="9">
        <v>2020</v>
      </c>
      <c r="S59" s="9">
        <v>2021</v>
      </c>
      <c r="T59" s="9">
        <v>2022</v>
      </c>
      <c r="U59" s="9">
        <v>2023</v>
      </c>
      <c r="V59" s="9" t="s">
        <v>179</v>
      </c>
    </row>
    <row r="60" spans="16:23" x14ac:dyDescent="0.3">
      <c r="P60" s="65" t="s">
        <v>178</v>
      </c>
      <c r="Q60" s="79">
        <v>14</v>
      </c>
      <c r="R60" s="79">
        <v>17</v>
      </c>
      <c r="S60" s="79">
        <v>18</v>
      </c>
      <c r="T60" s="79">
        <v>18</v>
      </c>
      <c r="U60" s="79">
        <v>18</v>
      </c>
      <c r="V60" s="9">
        <f>AVERAGE(Q60:U60)</f>
        <v>17</v>
      </c>
    </row>
    <row r="61" spans="16:23" x14ac:dyDescent="0.3">
      <c r="P61" s="65" t="s">
        <v>175</v>
      </c>
      <c r="Q61" s="79">
        <f>26-Q60-Q63</f>
        <v>7</v>
      </c>
      <c r="R61" s="79">
        <f>37-R60-R63</f>
        <v>11</v>
      </c>
      <c r="S61" s="79">
        <f>47-S60-S63</f>
        <v>21</v>
      </c>
      <c r="T61" s="79">
        <f>52-T60-T63</f>
        <v>27</v>
      </c>
      <c r="U61" s="79">
        <f>42-U60-U63</f>
        <v>18</v>
      </c>
      <c r="V61" s="9">
        <f t="shared" ref="V61:V66" si="12">AVERAGE(Q61:U61)</f>
        <v>16.8</v>
      </c>
    </row>
    <row r="62" spans="16:23" x14ac:dyDescent="0.3">
      <c r="P62" s="65" t="s">
        <v>174</v>
      </c>
      <c r="Q62" s="136">
        <v>0</v>
      </c>
      <c r="R62" s="136">
        <v>0</v>
      </c>
      <c r="S62" s="136">
        <v>0</v>
      </c>
      <c r="T62" s="136">
        <v>0</v>
      </c>
      <c r="U62" s="136">
        <v>0</v>
      </c>
      <c r="V62" s="9">
        <f t="shared" si="12"/>
        <v>0</v>
      </c>
      <c r="W62" t="s">
        <v>188</v>
      </c>
    </row>
    <row r="63" spans="16:23" x14ac:dyDescent="0.3">
      <c r="P63" s="65" t="s">
        <v>176</v>
      </c>
      <c r="Q63" s="79">
        <v>5</v>
      </c>
      <c r="R63" s="79">
        <v>9</v>
      </c>
      <c r="S63" s="79">
        <v>8</v>
      </c>
      <c r="T63" s="79">
        <v>7</v>
      </c>
      <c r="U63" s="79">
        <v>6</v>
      </c>
      <c r="V63" s="9">
        <f t="shared" si="12"/>
        <v>7</v>
      </c>
    </row>
    <row r="64" spans="16:23" x14ac:dyDescent="0.3">
      <c r="P64" s="65" t="s">
        <v>196</v>
      </c>
      <c r="Q64" s="112">
        <f>Q60/SUM(Q60:Q63)</f>
        <v>0.53846153846153844</v>
      </c>
      <c r="R64" s="112">
        <f t="shared" ref="R64" si="13">R60/SUM(R60:R63)</f>
        <v>0.45945945945945948</v>
      </c>
      <c r="S64" s="112">
        <f t="shared" ref="S64" si="14">S60/SUM(S60:S63)</f>
        <v>0.38297872340425532</v>
      </c>
      <c r="T64" s="112">
        <f t="shared" ref="T64" si="15">T60/SUM(T60:T63)</f>
        <v>0.34615384615384615</v>
      </c>
      <c r="U64" s="112">
        <f t="shared" ref="U64" si="16">U60/SUM(U60:U63)</f>
        <v>0.42857142857142855</v>
      </c>
      <c r="V64" s="130">
        <f t="shared" si="12"/>
        <v>0.43112499921010555</v>
      </c>
    </row>
    <row r="65" spans="16:22" x14ac:dyDescent="0.3">
      <c r="P65" s="65" t="s">
        <v>197</v>
      </c>
      <c r="Q65" s="112">
        <f>(Q61+Q62)/SUM(Q60:Q63)</f>
        <v>0.26923076923076922</v>
      </c>
      <c r="R65" s="112">
        <f t="shared" ref="R65:U65" si="17">(R61+R62)/SUM(R60:R63)</f>
        <v>0.29729729729729731</v>
      </c>
      <c r="S65" s="112">
        <f t="shared" si="17"/>
        <v>0.44680851063829785</v>
      </c>
      <c r="T65" s="112">
        <f t="shared" si="17"/>
        <v>0.51923076923076927</v>
      </c>
      <c r="U65" s="112">
        <f t="shared" si="17"/>
        <v>0.42857142857142855</v>
      </c>
      <c r="V65" s="130">
        <f t="shared" si="12"/>
        <v>0.39222775499371243</v>
      </c>
    </row>
    <row r="66" spans="16:22" x14ac:dyDescent="0.3">
      <c r="P66" s="65" t="s">
        <v>198</v>
      </c>
      <c r="Q66" s="112">
        <f>Q63/SUM(Q60:Q63)</f>
        <v>0.19230769230769232</v>
      </c>
      <c r="R66" s="112">
        <f t="shared" ref="R66:U66" si="18">R63/SUM(R60:R63)</f>
        <v>0.24324324324324326</v>
      </c>
      <c r="S66" s="112">
        <f t="shared" si="18"/>
        <v>0.1702127659574468</v>
      </c>
      <c r="T66" s="112">
        <f t="shared" si="18"/>
        <v>0.13461538461538461</v>
      </c>
      <c r="U66" s="112">
        <f t="shared" si="18"/>
        <v>0.14285714285714285</v>
      </c>
      <c r="V66" s="130">
        <f t="shared" si="12"/>
        <v>0.17664724579618199</v>
      </c>
    </row>
    <row r="96" spans="16:22" x14ac:dyDescent="0.3">
      <c r="P96" s="65" t="s">
        <v>81</v>
      </c>
      <c r="Q96" s="9">
        <v>2019</v>
      </c>
      <c r="R96" s="9">
        <v>2020</v>
      </c>
      <c r="S96" s="9">
        <v>2021</v>
      </c>
      <c r="T96" s="9">
        <v>2022</v>
      </c>
      <c r="U96" s="9">
        <v>2023</v>
      </c>
      <c r="V96" s="9" t="s">
        <v>179</v>
      </c>
    </row>
    <row r="97" spans="16:22" x14ac:dyDescent="0.3">
      <c r="P97" s="65" t="s">
        <v>178</v>
      </c>
      <c r="Q97" s="79">
        <v>0.7</v>
      </c>
      <c r="R97" s="79">
        <v>0.7</v>
      </c>
      <c r="S97" s="79">
        <v>0.7</v>
      </c>
      <c r="T97" s="79">
        <v>0.7</v>
      </c>
      <c r="U97" s="79">
        <v>0.7</v>
      </c>
      <c r="V97" s="9">
        <f>AVERAGE(Q97:U97)</f>
        <v>0.7</v>
      </c>
    </row>
    <row r="98" spans="16:22" x14ac:dyDescent="0.3">
      <c r="P98" s="65" t="s">
        <v>175</v>
      </c>
      <c r="Q98" s="79">
        <f>6.3+2.1</f>
        <v>8.4</v>
      </c>
      <c r="R98" s="79">
        <f>5.6+2.1</f>
        <v>7.6999999999999993</v>
      </c>
      <c r="S98" s="79">
        <v>8.4</v>
      </c>
      <c r="T98" s="79">
        <v>8.4</v>
      </c>
      <c r="U98" s="79">
        <f>6.3+2.1</f>
        <v>8.4</v>
      </c>
      <c r="V98" s="9">
        <f t="shared" ref="V98:V103" si="19">AVERAGE(Q98:U98)</f>
        <v>8.26</v>
      </c>
    </row>
    <row r="99" spans="16:22" x14ac:dyDescent="0.3">
      <c r="P99" s="65" t="s">
        <v>174</v>
      </c>
      <c r="Q99" s="79">
        <v>0.4</v>
      </c>
      <c r="R99" s="79">
        <v>0.4</v>
      </c>
      <c r="S99" s="79">
        <v>0.4</v>
      </c>
      <c r="T99" s="79">
        <v>0.4</v>
      </c>
      <c r="U99" s="79">
        <v>0.5</v>
      </c>
      <c r="V99" s="9">
        <f t="shared" si="19"/>
        <v>0.42000000000000004</v>
      </c>
    </row>
    <row r="100" spans="16:22" x14ac:dyDescent="0.3">
      <c r="P100" s="65" t="s">
        <v>176</v>
      </c>
      <c r="Q100" s="79">
        <v>34.5</v>
      </c>
      <c r="R100" s="79">
        <v>35.6</v>
      </c>
      <c r="S100" s="79">
        <v>33</v>
      </c>
      <c r="T100" s="79">
        <v>32.5</v>
      </c>
      <c r="U100" s="79">
        <v>31.5</v>
      </c>
      <c r="V100" s="9">
        <f t="shared" si="19"/>
        <v>33.42</v>
      </c>
    </row>
    <row r="101" spans="16:22" x14ac:dyDescent="0.3">
      <c r="P101" s="65" t="s">
        <v>196</v>
      </c>
      <c r="Q101" s="112">
        <f>Q97/SUM(Q97:Q100)</f>
        <v>1.5909090909090907E-2</v>
      </c>
      <c r="R101" s="112">
        <f t="shared" ref="R101" si="20">R97/SUM(R97:R100)</f>
        <v>1.5765765765765764E-2</v>
      </c>
      <c r="S101" s="112">
        <f t="shared" ref="S101" si="21">S97/SUM(S97:S100)</f>
        <v>1.6470588235294115E-2</v>
      </c>
      <c r="T101" s="112">
        <f t="shared" ref="T101" si="22">T97/SUM(T97:T100)</f>
        <v>1.6666666666666666E-2</v>
      </c>
      <c r="U101" s="112">
        <f t="shared" ref="U101" si="23">U97/SUM(U97:U100)</f>
        <v>1.7031630170316302E-2</v>
      </c>
      <c r="V101" s="130">
        <f t="shared" si="19"/>
        <v>1.6368748349426747E-2</v>
      </c>
    </row>
    <row r="102" spans="16:22" x14ac:dyDescent="0.3">
      <c r="P102" s="65" t="s">
        <v>197</v>
      </c>
      <c r="Q102" s="112">
        <f>(Q98+Q99)/SUM(Q97:Q100)</f>
        <v>0.2</v>
      </c>
      <c r="R102" s="112">
        <f t="shared" ref="R102:U102" si="24">(R98+R99)/SUM(R97:R100)</f>
        <v>0.18243243243243243</v>
      </c>
      <c r="S102" s="112">
        <f t="shared" si="24"/>
        <v>0.2070588235294118</v>
      </c>
      <c r="T102" s="112">
        <f t="shared" si="24"/>
        <v>0.20952380952380953</v>
      </c>
      <c r="U102" s="112">
        <f t="shared" si="24"/>
        <v>0.21654501216545013</v>
      </c>
      <c r="V102" s="130">
        <f t="shared" si="19"/>
        <v>0.20311201553022076</v>
      </c>
    </row>
    <row r="103" spans="16:22" x14ac:dyDescent="0.3">
      <c r="P103" s="65" t="s">
        <v>198</v>
      </c>
      <c r="Q103" s="112">
        <f>Q100/SUM(Q97:Q100)</f>
        <v>0.78409090909090906</v>
      </c>
      <c r="R103" s="112">
        <f t="shared" ref="R103:U103" si="25">R100/SUM(R97:R100)</f>
        <v>0.80180180180180183</v>
      </c>
      <c r="S103" s="112">
        <f t="shared" si="25"/>
        <v>0.77647058823529413</v>
      </c>
      <c r="T103" s="112">
        <f t="shared" si="25"/>
        <v>0.77380952380952384</v>
      </c>
      <c r="U103" s="112">
        <f t="shared" si="25"/>
        <v>0.76642335766423353</v>
      </c>
      <c r="V103" s="130">
        <f t="shared" si="19"/>
        <v>0.78051923612035234</v>
      </c>
    </row>
    <row r="124" spans="16:23" x14ac:dyDescent="0.3">
      <c r="P124" s="65" t="s">
        <v>82</v>
      </c>
      <c r="Q124" s="9">
        <v>2019</v>
      </c>
      <c r="R124" s="9">
        <v>2020</v>
      </c>
      <c r="S124" s="9">
        <v>2021</v>
      </c>
      <c r="T124" s="9">
        <v>2022</v>
      </c>
      <c r="U124" s="9">
        <v>2023</v>
      </c>
      <c r="V124" s="9" t="s">
        <v>179</v>
      </c>
    </row>
    <row r="125" spans="16:23" x14ac:dyDescent="0.3">
      <c r="P125" s="65" t="s">
        <v>178</v>
      </c>
      <c r="Q125" s="79">
        <v>12</v>
      </c>
      <c r="R125" s="79">
        <v>12</v>
      </c>
      <c r="S125" s="79">
        <v>13</v>
      </c>
      <c r="T125" s="79">
        <v>13</v>
      </c>
      <c r="U125" s="79">
        <v>12</v>
      </c>
      <c r="V125" s="9">
        <f>AVERAGE(Q125:U125)</f>
        <v>12.4</v>
      </c>
    </row>
    <row r="126" spans="16:23" x14ac:dyDescent="0.3">
      <c r="P126" s="65" t="s">
        <v>175</v>
      </c>
      <c r="Q126" s="79">
        <f>183-Q125-Q128</f>
        <v>77</v>
      </c>
      <c r="R126" s="79">
        <f>150-R125-R128</f>
        <v>62</v>
      </c>
      <c r="S126" s="79">
        <f>202-S125-S128</f>
        <v>85</v>
      </c>
      <c r="T126" s="79">
        <f>165-T125-T128</f>
        <v>63</v>
      </c>
      <c r="U126" s="79">
        <f>160-U125-U128</f>
        <v>63</v>
      </c>
      <c r="V126" s="9">
        <f t="shared" ref="V126:V131" si="26">AVERAGE(Q126:U126)</f>
        <v>70</v>
      </c>
    </row>
    <row r="127" spans="16:23" x14ac:dyDescent="0.3">
      <c r="P127" s="65" t="s">
        <v>174</v>
      </c>
      <c r="Q127" s="136">
        <v>0</v>
      </c>
      <c r="R127" s="136">
        <v>0</v>
      </c>
      <c r="S127" s="136">
        <v>0</v>
      </c>
      <c r="T127" s="136">
        <v>0</v>
      </c>
      <c r="U127" s="136">
        <v>0</v>
      </c>
      <c r="V127" s="9">
        <f t="shared" si="26"/>
        <v>0</v>
      </c>
      <c r="W127" t="s">
        <v>188</v>
      </c>
    </row>
    <row r="128" spans="16:23" x14ac:dyDescent="0.3">
      <c r="P128" s="65" t="s">
        <v>176</v>
      </c>
      <c r="Q128" s="79">
        <v>94</v>
      </c>
      <c r="R128" s="79">
        <v>76</v>
      </c>
      <c r="S128" s="79">
        <v>104</v>
      </c>
      <c r="T128" s="79">
        <v>89</v>
      </c>
      <c r="U128" s="79">
        <v>85</v>
      </c>
      <c r="V128" s="9">
        <f t="shared" si="26"/>
        <v>89.6</v>
      </c>
    </row>
    <row r="129" spans="16:22" x14ac:dyDescent="0.3">
      <c r="P129" s="65" t="s">
        <v>196</v>
      </c>
      <c r="Q129" s="112">
        <f>Q125/SUM(Q125:Q128)</f>
        <v>6.5573770491803282E-2</v>
      </c>
      <c r="R129" s="112">
        <f t="shared" ref="R129" si="27">R125/SUM(R125:R128)</f>
        <v>0.08</v>
      </c>
      <c r="S129" s="112">
        <f t="shared" ref="S129" si="28">S125/SUM(S125:S128)</f>
        <v>6.4356435643564358E-2</v>
      </c>
      <c r="T129" s="112">
        <f t="shared" ref="T129" si="29">T125/SUM(T125:T128)</f>
        <v>7.8787878787878782E-2</v>
      </c>
      <c r="U129" s="112">
        <f t="shared" ref="U129" si="30">U125/SUM(U125:U128)</f>
        <v>7.4999999999999997E-2</v>
      </c>
      <c r="V129" s="130">
        <f t="shared" si="26"/>
        <v>7.274361698464929E-2</v>
      </c>
    </row>
    <row r="130" spans="16:22" x14ac:dyDescent="0.3">
      <c r="P130" s="65" t="s">
        <v>197</v>
      </c>
      <c r="Q130" s="112">
        <f>(Q126+Q127)/SUM(Q125:Q128)</f>
        <v>0.42076502732240439</v>
      </c>
      <c r="R130" s="112">
        <f t="shared" ref="R130:U130" si="31">(R126+R127)/SUM(R125:R128)</f>
        <v>0.41333333333333333</v>
      </c>
      <c r="S130" s="112">
        <f t="shared" si="31"/>
        <v>0.42079207920792078</v>
      </c>
      <c r="T130" s="112">
        <f t="shared" si="31"/>
        <v>0.38181818181818183</v>
      </c>
      <c r="U130" s="112">
        <f t="shared" si="31"/>
        <v>0.39374999999999999</v>
      </c>
      <c r="V130" s="130">
        <f t="shared" si="26"/>
        <v>0.40609172433636803</v>
      </c>
    </row>
    <row r="131" spans="16:22" x14ac:dyDescent="0.3">
      <c r="P131" s="65" t="s">
        <v>198</v>
      </c>
      <c r="Q131" s="112">
        <f>Q128/SUM(Q125:Q128)</f>
        <v>0.51366120218579236</v>
      </c>
      <c r="R131" s="112">
        <f t="shared" ref="R131:U131" si="32">R128/SUM(R125:R128)</f>
        <v>0.50666666666666671</v>
      </c>
      <c r="S131" s="112">
        <f t="shared" si="32"/>
        <v>0.51485148514851486</v>
      </c>
      <c r="T131" s="112">
        <f t="shared" si="32"/>
        <v>0.53939393939393943</v>
      </c>
      <c r="U131" s="112">
        <f t="shared" si="32"/>
        <v>0.53125</v>
      </c>
      <c r="V131" s="130">
        <f t="shared" si="26"/>
        <v>0.52116465867898265</v>
      </c>
    </row>
    <row r="178" spans="1:22" x14ac:dyDescent="0.3">
      <c r="A178" s="65" t="s">
        <v>181</v>
      </c>
      <c r="B178" s="9">
        <v>2019</v>
      </c>
      <c r="C178" s="9">
        <v>2020</v>
      </c>
      <c r="D178" s="9">
        <v>2021</v>
      </c>
      <c r="E178" s="9">
        <v>2022</v>
      </c>
      <c r="F178" s="9">
        <v>2023</v>
      </c>
      <c r="G178" s="9" t="s">
        <v>179</v>
      </c>
    </row>
    <row r="179" spans="1:22" x14ac:dyDescent="0.3">
      <c r="A179" s="65" t="s">
        <v>178</v>
      </c>
      <c r="B179" s="79">
        <v>5.0999999999999996</v>
      </c>
      <c r="C179" s="79">
        <v>5.0999999999999996</v>
      </c>
      <c r="D179" s="79">
        <v>5.0999999999999996</v>
      </c>
      <c r="E179" s="79">
        <v>5.0999999999999996</v>
      </c>
      <c r="F179" s="79">
        <v>5.2</v>
      </c>
      <c r="G179" s="9">
        <f>AVERAGE(B179:F179)</f>
        <v>5.1199999999999992</v>
      </c>
    </row>
    <row r="180" spans="1:22" x14ac:dyDescent="0.3">
      <c r="A180" s="65" t="s">
        <v>175</v>
      </c>
      <c r="B180" s="79">
        <f>11.1-B181+0.4</f>
        <v>5.3</v>
      </c>
      <c r="C180" s="79">
        <f>11.3-C181+0.4</f>
        <v>5.5000000000000009</v>
      </c>
      <c r="D180" s="79">
        <f>11.9-D181+0.4</f>
        <v>5.5000000000000009</v>
      </c>
      <c r="E180" s="79">
        <f>11.4-E181+0.4</f>
        <v>5.5000000000000009</v>
      </c>
      <c r="F180" s="79">
        <f>12-F181+0.4</f>
        <v>5.5</v>
      </c>
      <c r="G180" s="9">
        <f t="shared" ref="G180:G185" si="33">AVERAGE(B180:F180)</f>
        <v>5.46</v>
      </c>
    </row>
    <row r="181" spans="1:22" x14ac:dyDescent="0.3">
      <c r="A181" s="65" t="s">
        <v>174</v>
      </c>
      <c r="B181" s="79">
        <v>6.2</v>
      </c>
      <c r="C181" s="79">
        <v>6.2</v>
      </c>
      <c r="D181" s="79">
        <v>6.8</v>
      </c>
      <c r="E181" s="79">
        <v>6.3</v>
      </c>
      <c r="F181" s="79">
        <v>6.9</v>
      </c>
      <c r="G181" s="9">
        <f t="shared" si="33"/>
        <v>6.4799999999999995</v>
      </c>
    </row>
    <row r="182" spans="1:22" x14ac:dyDescent="0.3">
      <c r="A182" s="65" t="s">
        <v>176</v>
      </c>
      <c r="B182" s="79">
        <v>68.099999999999994</v>
      </c>
      <c r="C182" s="79">
        <v>63.5</v>
      </c>
      <c r="D182" s="79">
        <v>64.599999999999994</v>
      </c>
      <c r="E182" s="79">
        <v>58</v>
      </c>
      <c r="F182" s="79">
        <v>58.9</v>
      </c>
      <c r="G182" s="9">
        <f t="shared" si="33"/>
        <v>62.61999999999999</v>
      </c>
    </row>
    <row r="183" spans="1:22" x14ac:dyDescent="0.3">
      <c r="A183" s="65" t="s">
        <v>196</v>
      </c>
      <c r="B183" s="112">
        <f>B179/SUM(B179:B182)</f>
        <v>6.0212514757969307E-2</v>
      </c>
      <c r="C183" s="112">
        <f t="shared" ref="C183" si="34">C179/SUM(C179:C182)</f>
        <v>6.351183063511831E-2</v>
      </c>
      <c r="D183" s="112">
        <f t="shared" ref="D183" si="35">D179/SUM(D179:D182)</f>
        <v>6.2195121951219505E-2</v>
      </c>
      <c r="E183" s="112">
        <f t="shared" ref="E183" si="36">E179/SUM(E179:E182)</f>
        <v>6.8090787716955925E-2</v>
      </c>
      <c r="F183" s="112">
        <f t="shared" ref="F183" si="37">F179/SUM(F179:F182)</f>
        <v>6.7973856209150335E-2</v>
      </c>
      <c r="G183" s="130">
        <f t="shared" si="33"/>
        <v>6.4396822254082678E-2</v>
      </c>
    </row>
    <row r="184" spans="1:22" x14ac:dyDescent="0.3">
      <c r="A184" s="65" t="s">
        <v>197</v>
      </c>
      <c r="B184" s="112">
        <f>(B180+B181)/SUM(B179:B182)</f>
        <v>0.13577331759149944</v>
      </c>
      <c r="C184" s="112">
        <f t="shared" ref="C184:F184" si="38">(C180+C181)/SUM(C179:C182)</f>
        <v>0.14570361145703614</v>
      </c>
      <c r="D184" s="112">
        <f t="shared" si="38"/>
        <v>0.15000000000000002</v>
      </c>
      <c r="E184" s="112">
        <f t="shared" si="38"/>
        <v>0.157543391188251</v>
      </c>
      <c r="F184" s="112">
        <f t="shared" si="38"/>
        <v>0.16209150326797386</v>
      </c>
      <c r="G184" s="130">
        <f t="shared" si="33"/>
        <v>0.1502223647009521</v>
      </c>
    </row>
    <row r="185" spans="1:22" x14ac:dyDescent="0.3">
      <c r="A185" s="65" t="s">
        <v>198</v>
      </c>
      <c r="B185" s="112">
        <f>B182/SUM(B179:B182)</f>
        <v>0.80401416765053135</v>
      </c>
      <c r="C185" s="112">
        <f t="shared" ref="C185:F185" si="39">C182/SUM(C179:C182)</f>
        <v>0.79078455790784563</v>
      </c>
      <c r="D185" s="112">
        <f t="shared" si="39"/>
        <v>0.78780487804878041</v>
      </c>
      <c r="E185" s="112">
        <f t="shared" si="39"/>
        <v>0.77436582109479302</v>
      </c>
      <c r="F185" s="112">
        <f t="shared" si="39"/>
        <v>0.76993464052287575</v>
      </c>
      <c r="G185" s="130">
        <f t="shared" si="33"/>
        <v>0.78538081304496521</v>
      </c>
    </row>
    <row r="187" spans="1:22" x14ac:dyDescent="0.3">
      <c r="P187" s="65" t="s">
        <v>186</v>
      </c>
      <c r="Q187" s="9">
        <v>2019</v>
      </c>
      <c r="R187" s="9">
        <v>2020</v>
      </c>
      <c r="S187" s="9">
        <v>2021</v>
      </c>
      <c r="T187" s="9">
        <v>2022</v>
      </c>
      <c r="U187" s="9">
        <v>2023</v>
      </c>
      <c r="V187" s="9" t="s">
        <v>179</v>
      </c>
    </row>
    <row r="188" spans="1:22" x14ac:dyDescent="0.3">
      <c r="P188" s="65" t="s">
        <v>178</v>
      </c>
      <c r="Q188" s="136">
        <f>0.05*Q192</f>
        <v>3.8000000000000003</v>
      </c>
      <c r="R188" s="136">
        <f>0.05*R192</f>
        <v>6.5</v>
      </c>
      <c r="S188" s="136">
        <f>0.05*S192</f>
        <v>9.9</v>
      </c>
      <c r="T188" s="136">
        <f>0.05*T192</f>
        <v>3.5</v>
      </c>
      <c r="U188" s="136">
        <f>0.05*U192</f>
        <v>4.4000000000000004</v>
      </c>
      <c r="V188" s="9">
        <f>AVERAGE(Q188:U188)</f>
        <v>5.62</v>
      </c>
    </row>
    <row r="189" spans="1:22" x14ac:dyDescent="0.3">
      <c r="P189" s="65" t="s">
        <v>175</v>
      </c>
      <c r="Q189" s="136">
        <f>Q192-Q188-Q191</f>
        <v>28.200000000000003</v>
      </c>
      <c r="R189" s="136">
        <f t="shared" ref="R189:U189" si="40">R192-R188-R191</f>
        <v>65.5</v>
      </c>
      <c r="S189" s="136">
        <f t="shared" si="40"/>
        <v>139.1</v>
      </c>
      <c r="T189" s="136">
        <f t="shared" si="40"/>
        <v>32.5</v>
      </c>
      <c r="U189" s="136">
        <f t="shared" si="40"/>
        <v>53.599999999999994</v>
      </c>
      <c r="V189" s="9">
        <f t="shared" ref="V189:V192" si="41">AVERAGE(Q189:U189)</f>
        <v>63.779999999999994</v>
      </c>
    </row>
    <row r="190" spans="1:22" x14ac:dyDescent="0.3">
      <c r="P190" s="65" t="s">
        <v>174</v>
      </c>
      <c r="Q190" s="136"/>
      <c r="R190" s="136"/>
      <c r="S190" s="136"/>
      <c r="T190" s="136"/>
      <c r="U190" s="136"/>
      <c r="V190" s="9" t="e">
        <f t="shared" si="41"/>
        <v>#DIV/0!</v>
      </c>
    </row>
    <row r="191" spans="1:22" x14ac:dyDescent="0.3">
      <c r="P191" s="65" t="s">
        <v>176</v>
      </c>
      <c r="Q191" s="79">
        <v>44</v>
      </c>
      <c r="R191" s="79">
        <v>58</v>
      </c>
      <c r="S191" s="79">
        <v>49</v>
      </c>
      <c r="T191" s="79">
        <v>34</v>
      </c>
      <c r="U191" s="79">
        <v>30</v>
      </c>
      <c r="V191" s="9">
        <f t="shared" si="41"/>
        <v>43</v>
      </c>
    </row>
    <row r="192" spans="1:22" x14ac:dyDescent="0.3">
      <c r="P192" s="65" t="s">
        <v>200</v>
      </c>
      <c r="Q192" s="79">
        <v>76</v>
      </c>
      <c r="R192" s="79">
        <v>130</v>
      </c>
      <c r="S192" s="79">
        <v>198</v>
      </c>
      <c r="T192" s="79">
        <v>70</v>
      </c>
      <c r="U192" s="79">
        <v>88</v>
      </c>
      <c r="V192" s="9">
        <f t="shared" si="41"/>
        <v>112.4</v>
      </c>
    </row>
    <row r="193" spans="16:22" x14ac:dyDescent="0.3">
      <c r="P193" s="65" t="s">
        <v>196</v>
      </c>
      <c r="Q193" s="112">
        <f>Q188/SUM(Q188:Q191)</f>
        <v>0.05</v>
      </c>
      <c r="R193" s="112">
        <f>R188/SUM(R188:R191)</f>
        <v>0.05</v>
      </c>
      <c r="S193" s="112">
        <f>S188/SUM(S188:S191)</f>
        <v>0.05</v>
      </c>
      <c r="T193" s="112">
        <f>T188/SUM(T188:T191)</f>
        <v>0.05</v>
      </c>
      <c r="U193" s="112">
        <f>U188/SUM(U188:U191)</f>
        <v>0.05</v>
      </c>
      <c r="V193" s="130">
        <f>AVERAGE(Q193:U193)</f>
        <v>0.05</v>
      </c>
    </row>
    <row r="194" spans="16:22" x14ac:dyDescent="0.3">
      <c r="P194" s="65" t="s">
        <v>197</v>
      </c>
      <c r="Q194" s="112">
        <f>(Q189+Q190)/SUM(Q188:Q191)</f>
        <v>0.37105263157894741</v>
      </c>
      <c r="R194" s="112">
        <f>(R189+R190)/SUM(R188:R191)</f>
        <v>0.50384615384615383</v>
      </c>
      <c r="S194" s="112">
        <f>(S189+S190)/SUM(S188:S191)</f>
        <v>0.70252525252525244</v>
      </c>
      <c r="T194" s="112">
        <f>(T189+T190)/SUM(T188:T191)</f>
        <v>0.4642857142857143</v>
      </c>
      <c r="U194" s="112">
        <f>(U189+U190)/SUM(U188:U191)</f>
        <v>0.60909090909090902</v>
      </c>
      <c r="V194" s="130">
        <f>AVERAGE(Q194:U194)</f>
        <v>0.53016013226539538</v>
      </c>
    </row>
    <row r="195" spans="16:22" x14ac:dyDescent="0.3">
      <c r="P195" s="65" t="s">
        <v>198</v>
      </c>
      <c r="Q195" s="112">
        <f t="shared" ref="Q195:V195" si="42">Q191/Q192</f>
        <v>0.57894736842105265</v>
      </c>
      <c r="R195" s="112">
        <f t="shared" si="42"/>
        <v>0.44615384615384618</v>
      </c>
      <c r="S195" s="112">
        <f t="shared" si="42"/>
        <v>0.24747474747474749</v>
      </c>
      <c r="T195" s="112">
        <f t="shared" si="42"/>
        <v>0.48571428571428571</v>
      </c>
      <c r="U195" s="112">
        <f t="shared" si="42"/>
        <v>0.34090909090909088</v>
      </c>
      <c r="V195" s="130">
        <f t="shared" si="42"/>
        <v>0.38256227758007116</v>
      </c>
    </row>
    <row r="197" spans="16:22" x14ac:dyDescent="0.3">
      <c r="P197" t="s">
        <v>202</v>
      </c>
    </row>
    <row r="198" spans="16:22" x14ac:dyDescent="0.3">
      <c r="P198" t="s">
        <v>201</v>
      </c>
    </row>
    <row r="211" spans="16:23" x14ac:dyDescent="0.3">
      <c r="P211" s="65" t="s">
        <v>187</v>
      </c>
      <c r="Q211" s="9">
        <v>2019</v>
      </c>
      <c r="R211" s="9">
        <v>2020</v>
      </c>
      <c r="S211" s="9">
        <v>2021</v>
      </c>
      <c r="T211" s="9">
        <v>2022</v>
      </c>
      <c r="U211" s="9">
        <v>2023</v>
      </c>
      <c r="V211" s="9" t="s">
        <v>179</v>
      </c>
    </row>
    <row r="212" spans="16:23" x14ac:dyDescent="0.3">
      <c r="P212" s="65" t="s">
        <v>178</v>
      </c>
      <c r="Q212" s="64">
        <f>0.03*Q216</f>
        <v>18.96</v>
      </c>
      <c r="R212" s="64">
        <f>0.03*R216</f>
        <v>16.32</v>
      </c>
      <c r="S212" s="64">
        <f>0.03*S216</f>
        <v>22.68</v>
      </c>
      <c r="T212" s="64">
        <f>0.03*T216</f>
        <v>22.65</v>
      </c>
      <c r="U212" s="64">
        <f>0.03*U216</f>
        <v>20.73</v>
      </c>
      <c r="V212" s="9">
        <f>AVERAGE(Q212:U212)</f>
        <v>20.268000000000001</v>
      </c>
    </row>
    <row r="213" spans="16:23" x14ac:dyDescent="0.3">
      <c r="P213" s="65" t="s">
        <v>175</v>
      </c>
      <c r="Q213" s="136">
        <f>Q216-Q215-Q212</f>
        <v>149.04</v>
      </c>
      <c r="R213" s="136">
        <f t="shared" ref="R213:U213" si="43">R216-R215-R212</f>
        <v>152.68</v>
      </c>
      <c r="S213" s="136">
        <f t="shared" si="43"/>
        <v>287.32</v>
      </c>
      <c r="T213" s="136">
        <f t="shared" si="43"/>
        <v>211.35</v>
      </c>
      <c r="U213" s="136">
        <f t="shared" si="43"/>
        <v>170.27</v>
      </c>
      <c r="V213" s="9">
        <f t="shared" ref="V213:V216" si="44">AVERAGE(Q213:U213)</f>
        <v>194.13200000000001</v>
      </c>
      <c r="W213" t="s">
        <v>204</v>
      </c>
    </row>
    <row r="214" spans="16:23" x14ac:dyDescent="0.3">
      <c r="P214" s="65" t="s">
        <v>174</v>
      </c>
      <c r="Q214" s="136"/>
      <c r="R214" s="136"/>
      <c r="S214" s="136"/>
      <c r="T214" s="136"/>
      <c r="U214" s="136"/>
      <c r="V214" s="9" t="e">
        <f t="shared" si="44"/>
        <v>#DIV/0!</v>
      </c>
    </row>
    <row r="215" spans="16:23" x14ac:dyDescent="0.3">
      <c r="P215" s="65" t="s">
        <v>176</v>
      </c>
      <c r="Q215" s="79">
        <v>464</v>
      </c>
      <c r="R215" s="79">
        <v>375</v>
      </c>
      <c r="S215" s="79">
        <v>446</v>
      </c>
      <c r="T215" s="79">
        <v>521</v>
      </c>
      <c r="U215" s="79">
        <v>500</v>
      </c>
      <c r="V215" s="9">
        <f t="shared" si="44"/>
        <v>461.2</v>
      </c>
    </row>
    <row r="216" spans="16:23" x14ac:dyDescent="0.3">
      <c r="P216" s="65" t="s">
        <v>200</v>
      </c>
      <c r="Q216" s="79">
        <v>632</v>
      </c>
      <c r="R216" s="79">
        <v>544</v>
      </c>
      <c r="S216" s="79">
        <v>756</v>
      </c>
      <c r="T216" s="79">
        <v>755</v>
      </c>
      <c r="U216" s="79">
        <v>691</v>
      </c>
      <c r="V216" s="9">
        <f t="shared" si="44"/>
        <v>675.6</v>
      </c>
    </row>
    <row r="217" spans="16:23" x14ac:dyDescent="0.3">
      <c r="P217" s="65" t="s">
        <v>196</v>
      </c>
      <c r="Q217" s="112">
        <f>Q212/SUM(Q212:Q215)</f>
        <v>3.0000000000000002E-2</v>
      </c>
      <c r="R217" s="112">
        <f>R212/SUM(R212:R215)</f>
        <v>0.03</v>
      </c>
      <c r="S217" s="112">
        <f>S212/SUM(S212:S215)</f>
        <v>0.03</v>
      </c>
      <c r="T217" s="112">
        <f>T212/SUM(T212:T215)</f>
        <v>0.03</v>
      </c>
      <c r="U217" s="112">
        <f>U212/SUM(U212:U215)</f>
        <v>0.03</v>
      </c>
      <c r="V217" s="130">
        <f>AVERAGE(Q217:U217)</f>
        <v>0.03</v>
      </c>
    </row>
    <row r="218" spans="16:23" x14ac:dyDescent="0.3">
      <c r="P218" s="65" t="s">
        <v>197</v>
      </c>
      <c r="Q218" s="112">
        <f>(Q213+Q214)/SUM(Q212:Q215)</f>
        <v>0.23582278481012656</v>
      </c>
      <c r="R218" s="112">
        <f>(R213+R214)/SUM(R212:R215)</f>
        <v>0.28066176470588239</v>
      </c>
      <c r="S218" s="112">
        <f>(S213+S214)/SUM(S212:S215)</f>
        <v>0.38005291005291003</v>
      </c>
      <c r="T218" s="112">
        <f>(T213+T214)/SUM(T212:T215)</f>
        <v>0.2799337748344371</v>
      </c>
      <c r="U218" s="112">
        <f>(U213+U214)/SUM(U212:U215)</f>
        <v>0.246410998552822</v>
      </c>
      <c r="V218" s="130">
        <f>AVERAGE(Q218:U218)</f>
        <v>0.2845764465912356</v>
      </c>
    </row>
    <row r="219" spans="16:23" x14ac:dyDescent="0.3">
      <c r="P219" s="65" t="s">
        <v>198</v>
      </c>
      <c r="Q219" s="112">
        <f t="shared" ref="Q219:V219" si="45">Q215/Q216</f>
        <v>0.73417721518987344</v>
      </c>
      <c r="R219" s="112">
        <f t="shared" si="45"/>
        <v>0.68933823529411764</v>
      </c>
      <c r="S219" s="112">
        <f t="shared" si="45"/>
        <v>0.58994708994709</v>
      </c>
      <c r="T219" s="112">
        <f t="shared" si="45"/>
        <v>0.69006622516556293</v>
      </c>
      <c r="U219" s="112">
        <f t="shared" si="45"/>
        <v>0.72358900144717797</v>
      </c>
      <c r="V219" s="130">
        <f t="shared" si="45"/>
        <v>0.6826524570751924</v>
      </c>
    </row>
    <row r="221" spans="16:23" x14ac:dyDescent="0.3">
      <c r="P221" t="s">
        <v>202</v>
      </c>
    </row>
    <row r="222" spans="16:23" x14ac:dyDescent="0.3">
      <c r="P222" s="90" t="s">
        <v>203</v>
      </c>
    </row>
    <row r="238" spans="16:22" x14ac:dyDescent="0.3">
      <c r="P238" s="65" t="s">
        <v>66</v>
      </c>
      <c r="Q238" s="9">
        <v>2019</v>
      </c>
      <c r="R238" s="9">
        <v>2020</v>
      </c>
      <c r="S238" s="9">
        <v>2021</v>
      </c>
      <c r="T238" s="9">
        <v>2022</v>
      </c>
      <c r="U238" s="9">
        <v>2023</v>
      </c>
      <c r="V238" s="9" t="s">
        <v>179</v>
      </c>
    </row>
    <row r="239" spans="16:22" x14ac:dyDescent="0.3">
      <c r="P239" s="65" t="s">
        <v>178</v>
      </c>
      <c r="Q239" s="79"/>
      <c r="R239" s="79"/>
      <c r="S239" s="79"/>
      <c r="T239" s="79"/>
      <c r="U239" s="79"/>
      <c r="V239" s="9"/>
    </row>
    <row r="240" spans="16:22" x14ac:dyDescent="0.3">
      <c r="P240" s="65" t="s">
        <v>175</v>
      </c>
      <c r="Q240" s="79"/>
      <c r="R240" s="79"/>
      <c r="S240" s="79"/>
      <c r="T240" s="79"/>
      <c r="U240" s="79"/>
      <c r="V240" s="9"/>
    </row>
    <row r="241" spans="16:22" x14ac:dyDescent="0.3">
      <c r="P241" s="65" t="s">
        <v>174</v>
      </c>
      <c r="Q241" s="140">
        <v>0.57999999999999996</v>
      </c>
      <c r="R241" s="140">
        <v>0.57999999999999996</v>
      </c>
      <c r="S241" s="140">
        <v>0.57999999999999996</v>
      </c>
      <c r="T241" s="140">
        <v>0.57999999999999996</v>
      </c>
      <c r="U241" s="140">
        <v>0.57999999999999996</v>
      </c>
      <c r="V241" s="9"/>
    </row>
    <row r="242" spans="16:22" x14ac:dyDescent="0.3">
      <c r="P242" s="65" t="s">
        <v>176</v>
      </c>
      <c r="Q242" s="79"/>
      <c r="R242" s="79"/>
      <c r="S242" s="79"/>
      <c r="T242" s="79"/>
      <c r="U242" s="79"/>
      <c r="V242" s="9"/>
    </row>
    <row r="243" spans="16:22" x14ac:dyDescent="0.3">
      <c r="P243" s="65" t="s">
        <v>196</v>
      </c>
      <c r="Q243" s="112"/>
      <c r="R243" s="112"/>
      <c r="S243" s="112"/>
      <c r="T243" s="112"/>
      <c r="U243" s="112"/>
      <c r="V243" s="130">
        <f>AVERAGE('Calcul R84'!K93:O93)/AVERAGE('calcul conso'!K21:O21)+40/4000</f>
        <v>0.11718086491625015</v>
      </c>
    </row>
    <row r="244" spans="16:22" x14ac:dyDescent="0.3">
      <c r="P244" s="65" t="s">
        <v>197</v>
      </c>
      <c r="Q244" s="112"/>
      <c r="R244" s="112"/>
      <c r="S244" s="112"/>
      <c r="T244" s="112"/>
      <c r="U244" s="112"/>
      <c r="V244" s="130">
        <f>1-V243-V245</f>
        <v>0.87281913508374986</v>
      </c>
    </row>
    <row r="245" spans="16:22" x14ac:dyDescent="0.3">
      <c r="P245" s="65" t="s">
        <v>198</v>
      </c>
      <c r="Q245" s="112"/>
      <c r="R245" s="112"/>
      <c r="S245" s="112"/>
      <c r="T245" s="112"/>
      <c r="U245" s="112"/>
      <c r="V245" s="130">
        <v>0.01</v>
      </c>
    </row>
    <row r="279" spans="2:22" x14ac:dyDescent="0.3">
      <c r="B279" s="79" t="s">
        <v>211</v>
      </c>
      <c r="C279" s="79"/>
      <c r="D279" s="79">
        <v>2019</v>
      </c>
      <c r="E279" s="79">
        <v>2020</v>
      </c>
      <c r="F279" s="79">
        <v>2021</v>
      </c>
      <c r="G279" s="79">
        <v>2022</v>
      </c>
      <c r="H279" s="79">
        <v>2023</v>
      </c>
      <c r="I279" s="79" t="s">
        <v>210</v>
      </c>
    </row>
    <row r="280" spans="2:22" x14ac:dyDescent="0.3">
      <c r="B280" s="79" t="s">
        <v>208</v>
      </c>
      <c r="C280" s="79"/>
      <c r="D280" s="79">
        <v>3954</v>
      </c>
      <c r="E280" s="79">
        <v>4006</v>
      </c>
      <c r="F280" s="79">
        <v>3938</v>
      </c>
      <c r="G280" s="79">
        <v>4313</v>
      </c>
      <c r="H280" s="79">
        <v>4315</v>
      </c>
      <c r="I280" s="79"/>
    </row>
    <row r="281" spans="2:22" x14ac:dyDescent="0.3">
      <c r="B281" s="79" t="s">
        <v>207</v>
      </c>
      <c r="C281" s="79"/>
      <c r="D281" s="79">
        <v>3894</v>
      </c>
      <c r="E281" s="79">
        <v>3948</v>
      </c>
      <c r="F281" s="79">
        <v>3883</v>
      </c>
      <c r="G281" s="79">
        <v>4251</v>
      </c>
      <c r="H281" s="79">
        <v>4250</v>
      </c>
      <c r="I281" s="79"/>
    </row>
    <row r="282" spans="2:22" x14ac:dyDescent="0.3">
      <c r="B282" s="79" t="s">
        <v>209</v>
      </c>
      <c r="C282" s="79"/>
      <c r="D282" s="140">
        <f>D281/D280</f>
        <v>0.98482549317147194</v>
      </c>
      <c r="E282" s="140">
        <f t="shared" ref="E282:H282" si="46">E281/E280</f>
        <v>0.98552171742386419</v>
      </c>
      <c r="F282" s="140">
        <f t="shared" si="46"/>
        <v>0.98603351955307261</v>
      </c>
      <c r="G282" s="140">
        <f t="shared" si="46"/>
        <v>0.98562485508926501</v>
      </c>
      <c r="H282" s="140">
        <f t="shared" si="46"/>
        <v>0.98493626882966401</v>
      </c>
      <c r="I282" s="140">
        <f>AVERAGE(D282:H282)</f>
        <v>0.98538837081346742</v>
      </c>
    </row>
    <row r="283" spans="2:22" x14ac:dyDescent="0.3">
      <c r="B283" s="83"/>
      <c r="C283" s="83"/>
      <c r="D283" s="141"/>
      <c r="E283" s="141"/>
      <c r="F283" s="141"/>
      <c r="G283" s="141"/>
      <c r="H283" s="141"/>
      <c r="I283" s="141"/>
    </row>
    <row r="284" spans="2:22" x14ac:dyDescent="0.3">
      <c r="B284" s="83"/>
      <c r="C284" s="83"/>
      <c r="D284" s="141"/>
      <c r="E284" s="141"/>
      <c r="F284" s="141"/>
      <c r="G284" s="141"/>
      <c r="H284" s="141"/>
      <c r="I284" s="141"/>
      <c r="P284" s="65" t="s">
        <v>67</v>
      </c>
      <c r="Q284" s="9">
        <v>2019</v>
      </c>
      <c r="R284" s="9">
        <v>2020</v>
      </c>
      <c r="S284" s="9">
        <v>2021</v>
      </c>
      <c r="T284" s="9">
        <v>2022</v>
      </c>
      <c r="U284" s="9">
        <v>2023</v>
      </c>
      <c r="V284" s="9" t="s">
        <v>179</v>
      </c>
    </row>
    <row r="285" spans="2:22" x14ac:dyDescent="0.3">
      <c r="B285" s="83"/>
      <c r="C285" s="83"/>
      <c r="D285" s="141"/>
      <c r="E285" s="141"/>
      <c r="F285" s="141"/>
      <c r="G285" s="141"/>
      <c r="H285" s="141"/>
      <c r="I285" s="141"/>
      <c r="P285" s="65" t="s">
        <v>178</v>
      </c>
      <c r="Q285" s="79"/>
      <c r="R285" s="79"/>
      <c r="S285" s="79"/>
      <c r="T285" s="79"/>
      <c r="U285" s="79"/>
      <c r="V285" s="9"/>
    </row>
    <row r="286" spans="2:22" x14ac:dyDescent="0.3">
      <c r="B286" s="83"/>
      <c r="C286" s="83"/>
      <c r="D286" s="141"/>
      <c r="E286" s="141"/>
      <c r="F286" s="141"/>
      <c r="G286" s="141"/>
      <c r="H286" s="141"/>
      <c r="I286" s="141"/>
      <c r="P286" s="65" t="s">
        <v>175</v>
      </c>
      <c r="Q286" s="79"/>
      <c r="R286" s="79"/>
      <c r="S286" s="79"/>
      <c r="T286" s="79"/>
      <c r="U286" s="79"/>
      <c r="V286" s="9"/>
    </row>
    <row r="287" spans="2:22" x14ac:dyDescent="0.3">
      <c r="B287" s="83"/>
      <c r="C287" s="83"/>
      <c r="D287" s="141"/>
      <c r="E287" s="141"/>
      <c r="F287" s="141"/>
      <c r="G287" s="141"/>
      <c r="H287" s="141"/>
      <c r="I287" s="141"/>
      <c r="P287" s="65" t="s">
        <v>174</v>
      </c>
      <c r="Q287" s="140">
        <v>0.09</v>
      </c>
      <c r="R287" s="140">
        <v>0.09</v>
      </c>
      <c r="S287" s="140">
        <v>0.09</v>
      </c>
      <c r="T287" s="140">
        <v>0.09</v>
      </c>
      <c r="U287" s="140">
        <v>0.09</v>
      </c>
      <c r="V287" s="9"/>
    </row>
    <row r="288" spans="2:22" x14ac:dyDescent="0.3">
      <c r="B288" s="83"/>
      <c r="C288" s="83"/>
      <c r="D288" s="141"/>
      <c r="E288" s="141"/>
      <c r="F288" s="141"/>
      <c r="G288" s="141"/>
      <c r="H288" s="141"/>
      <c r="I288" s="141"/>
      <c r="P288" s="65" t="s">
        <v>176</v>
      </c>
      <c r="Q288" s="79"/>
      <c r="R288" s="79"/>
      <c r="S288" s="79"/>
      <c r="T288" s="79"/>
      <c r="U288" s="79"/>
      <c r="V288" s="9"/>
    </row>
    <row r="289" spans="2:22" x14ac:dyDescent="0.3">
      <c r="B289" s="83"/>
      <c r="C289" s="83"/>
      <c r="D289" s="141"/>
      <c r="E289" s="141"/>
      <c r="F289" s="141"/>
      <c r="G289" s="141"/>
      <c r="H289" s="141"/>
      <c r="I289" s="141"/>
      <c r="P289" s="65" t="s">
        <v>196</v>
      </c>
      <c r="Q289" s="112"/>
      <c r="R289" s="112"/>
      <c r="S289" s="112"/>
      <c r="T289" s="112"/>
      <c r="U289" s="112"/>
      <c r="V289" s="130">
        <v>0.65</v>
      </c>
    </row>
    <row r="290" spans="2:22" x14ac:dyDescent="0.3">
      <c r="B290" s="83"/>
      <c r="C290" s="83"/>
      <c r="D290" s="141"/>
      <c r="E290" s="141"/>
      <c r="F290" s="141"/>
      <c r="G290" s="141"/>
      <c r="H290" s="141"/>
      <c r="I290" s="141"/>
      <c r="P290" s="65" t="s">
        <v>197</v>
      </c>
      <c r="Q290" s="112"/>
      <c r="R290" s="112"/>
      <c r="S290" s="112"/>
      <c r="T290" s="112"/>
      <c r="U290" s="112"/>
      <c r="V290" s="130">
        <v>0.32</v>
      </c>
    </row>
    <row r="291" spans="2:22" x14ac:dyDescent="0.3">
      <c r="B291" s="83"/>
      <c r="C291" s="83"/>
      <c r="D291" s="141"/>
      <c r="E291" s="141"/>
      <c r="F291" s="141"/>
      <c r="G291" s="141"/>
      <c r="H291" s="141"/>
      <c r="I291" s="141"/>
      <c r="P291" s="65" t="s">
        <v>198</v>
      </c>
      <c r="Q291" s="112"/>
      <c r="R291" s="112"/>
      <c r="S291" s="112"/>
      <c r="T291" s="112"/>
      <c r="U291" s="112"/>
      <c r="V291" s="130">
        <f>1-V290-V289</f>
        <v>2.9999999999999916E-2</v>
      </c>
    </row>
    <row r="292" spans="2:22" x14ac:dyDescent="0.3">
      <c r="B292" s="83"/>
      <c r="C292" s="83"/>
      <c r="D292" s="141"/>
      <c r="E292" s="141"/>
      <c r="F292" s="141"/>
      <c r="G292" s="141"/>
      <c r="H292" s="141"/>
      <c r="I292" s="141"/>
    </row>
    <row r="293" spans="2:22" x14ac:dyDescent="0.3">
      <c r="B293" s="83"/>
      <c r="C293" s="83"/>
      <c r="D293" s="141"/>
      <c r="E293" s="141"/>
      <c r="F293" s="141"/>
      <c r="G293" s="141"/>
      <c r="H293" s="141"/>
      <c r="I293" s="141"/>
      <c r="L293" s="79" t="s">
        <v>67</v>
      </c>
      <c r="M293" s="79"/>
      <c r="N293" s="79">
        <v>2019</v>
      </c>
      <c r="O293" s="79">
        <v>2020</v>
      </c>
      <c r="P293" s="79">
        <v>2021</v>
      </c>
      <c r="Q293" s="79">
        <v>2022</v>
      </c>
      <c r="R293" s="79">
        <v>2023</v>
      </c>
      <c r="S293" s="79" t="s">
        <v>210</v>
      </c>
    </row>
    <row r="294" spans="2:22" x14ac:dyDescent="0.3">
      <c r="B294" s="83"/>
      <c r="C294" s="83"/>
      <c r="D294" s="141"/>
      <c r="E294" s="141"/>
      <c r="F294" s="141"/>
      <c r="G294" s="141"/>
      <c r="H294" s="141"/>
      <c r="I294" s="141"/>
      <c r="L294" s="79" t="s">
        <v>208</v>
      </c>
      <c r="M294" s="79"/>
      <c r="N294" s="79">
        <v>965</v>
      </c>
      <c r="O294" s="79">
        <v>1235</v>
      </c>
      <c r="P294" s="79">
        <v>1285</v>
      </c>
      <c r="Q294" s="79">
        <v>1248</v>
      </c>
      <c r="R294" s="79">
        <v>1369</v>
      </c>
      <c r="S294" s="79"/>
    </row>
    <row r="295" spans="2:22" x14ac:dyDescent="0.3">
      <c r="B295" s="83"/>
      <c r="C295" s="83"/>
      <c r="D295" s="141"/>
      <c r="E295" s="141"/>
      <c r="F295" s="141"/>
      <c r="G295" s="141"/>
      <c r="H295" s="141"/>
      <c r="I295" s="141"/>
      <c r="L295" s="79" t="s">
        <v>207</v>
      </c>
      <c r="M295" s="79"/>
      <c r="N295" s="79">
        <v>914</v>
      </c>
      <c r="O295" s="79">
        <v>1169</v>
      </c>
      <c r="P295" s="79">
        <v>1215</v>
      </c>
      <c r="Q295" s="79">
        <v>1184</v>
      </c>
      <c r="R295" s="79">
        <v>1300</v>
      </c>
      <c r="S295" s="79"/>
    </row>
    <row r="296" spans="2:22" x14ac:dyDescent="0.3">
      <c r="B296" s="83"/>
      <c r="C296" s="83"/>
      <c r="D296" s="141"/>
      <c r="E296" s="141"/>
      <c r="F296" s="141"/>
      <c r="G296" s="141"/>
      <c r="H296" s="141"/>
      <c r="I296" s="141"/>
      <c r="L296" s="79" t="s">
        <v>209</v>
      </c>
      <c r="M296" s="79"/>
      <c r="N296" s="140">
        <f>N295/N294</f>
        <v>0.9471502590673575</v>
      </c>
      <c r="O296" s="140">
        <f t="shared" ref="O296:R296" si="47">O295/O294</f>
        <v>0.94655870445344126</v>
      </c>
      <c r="P296" s="140">
        <f t="shared" si="47"/>
        <v>0.94552529182879375</v>
      </c>
      <c r="Q296" s="140">
        <f t="shared" si="47"/>
        <v>0.94871794871794868</v>
      </c>
      <c r="R296" s="140">
        <f t="shared" si="47"/>
        <v>0.94959824689554417</v>
      </c>
      <c r="S296" s="140">
        <f>AVERAGE(N296:R296)</f>
        <v>0.947510090192617</v>
      </c>
    </row>
    <row r="297" spans="2:22" x14ac:dyDescent="0.3">
      <c r="B297" s="83"/>
      <c r="C297" s="83"/>
      <c r="D297" s="141"/>
      <c r="E297" s="141"/>
      <c r="F297" s="141"/>
      <c r="G297" s="141"/>
      <c r="H297" s="141"/>
      <c r="I297" s="141"/>
    </row>
    <row r="298" spans="2:22" x14ac:dyDescent="0.3">
      <c r="B298" s="83"/>
      <c r="C298" s="83"/>
      <c r="D298" s="141"/>
      <c r="E298" s="141"/>
      <c r="F298" s="141"/>
      <c r="G298" s="141"/>
      <c r="H298" s="141"/>
      <c r="I298" s="141"/>
      <c r="L298" s="142" t="s">
        <v>214</v>
      </c>
    </row>
    <row r="299" spans="2:22" x14ac:dyDescent="0.3">
      <c r="B299" s="83"/>
      <c r="C299" s="83"/>
      <c r="D299" s="141"/>
      <c r="E299" s="141"/>
      <c r="F299" s="141"/>
      <c r="G299" s="141"/>
      <c r="H299" s="141"/>
      <c r="I299" s="141"/>
      <c r="L299" s="80" t="s">
        <v>219</v>
      </c>
      <c r="S299">
        <v>7.53</v>
      </c>
    </row>
    <row r="300" spans="2:22" x14ac:dyDescent="0.3">
      <c r="B300" s="83"/>
      <c r="C300" s="83"/>
      <c r="D300" s="141"/>
      <c r="E300" s="141"/>
      <c r="F300" s="141"/>
      <c r="G300" s="141"/>
      <c r="H300" s="141"/>
      <c r="I300" s="141"/>
      <c r="L300" s="143" t="s">
        <v>215</v>
      </c>
      <c r="S300">
        <v>0.67</v>
      </c>
      <c r="T300" s="116">
        <f>S300/S299</f>
        <v>8.8977423638778225E-2</v>
      </c>
    </row>
    <row r="301" spans="2:22" x14ac:dyDescent="0.3">
      <c r="B301" s="83"/>
      <c r="C301" s="83"/>
      <c r="D301" s="141"/>
      <c r="E301" s="141"/>
      <c r="F301" s="141"/>
      <c r="G301" s="141"/>
      <c r="H301" s="141"/>
      <c r="I301" s="141"/>
      <c r="L301" s="143" t="s">
        <v>216</v>
      </c>
      <c r="S301">
        <v>4.9000000000000004</v>
      </c>
      <c r="T301" s="116">
        <f>S301/S299</f>
        <v>0.65073041168658696</v>
      </c>
    </row>
    <row r="302" spans="2:22" x14ac:dyDescent="0.3">
      <c r="B302" s="83"/>
      <c r="C302" s="83"/>
      <c r="D302" s="141"/>
      <c r="E302" s="141"/>
      <c r="F302" s="141"/>
      <c r="G302" s="141"/>
      <c r="H302" s="141"/>
      <c r="I302" s="141"/>
      <c r="L302" s="143" t="s">
        <v>217</v>
      </c>
      <c r="S302">
        <v>0.2</v>
      </c>
      <c r="T302" s="116">
        <f>S302/S299</f>
        <v>2.6560424966799469E-2</v>
      </c>
    </row>
    <row r="303" spans="2:22" x14ac:dyDescent="0.3">
      <c r="B303" s="83"/>
      <c r="C303" s="83"/>
      <c r="D303" s="141"/>
      <c r="E303" s="141"/>
      <c r="F303" s="141"/>
      <c r="G303" s="141"/>
      <c r="H303" s="141"/>
      <c r="I303" s="141"/>
      <c r="L303" s="143" t="s">
        <v>218</v>
      </c>
      <c r="S303">
        <f>S299-S302-S301-S300</f>
        <v>1.7599999999999998</v>
      </c>
      <c r="T303" s="116">
        <f>S303/S299</f>
        <v>0.23373173970783528</v>
      </c>
    </row>
    <row r="304" spans="2:22" x14ac:dyDescent="0.3">
      <c r="B304" s="83"/>
      <c r="C304" s="83"/>
      <c r="D304" s="141"/>
      <c r="E304" s="141"/>
      <c r="F304" s="141"/>
      <c r="G304" s="141"/>
      <c r="H304" s="141"/>
      <c r="I304" s="141"/>
    </row>
    <row r="305" spans="2:9" x14ac:dyDescent="0.3">
      <c r="B305" s="83"/>
      <c r="C305" s="83"/>
      <c r="D305" s="141"/>
      <c r="E305" s="141"/>
      <c r="F305" s="141"/>
      <c r="G305" s="141"/>
      <c r="H305" s="141"/>
      <c r="I305" s="141"/>
    </row>
    <row r="306" spans="2:9" x14ac:dyDescent="0.3">
      <c r="B306" s="83"/>
      <c r="C306" s="83"/>
      <c r="D306" s="141"/>
      <c r="E306" s="141"/>
      <c r="F306" s="141"/>
      <c r="G306" s="141"/>
      <c r="H306" s="141"/>
      <c r="I306" s="141"/>
    </row>
    <row r="307" spans="2:9" x14ac:dyDescent="0.3">
      <c r="B307" s="83"/>
      <c r="C307" s="83"/>
      <c r="D307" s="141"/>
      <c r="E307" s="141"/>
      <c r="F307" s="141"/>
      <c r="G307" s="141"/>
      <c r="H307" s="141"/>
      <c r="I307" s="141"/>
    </row>
    <row r="308" spans="2:9" x14ac:dyDescent="0.3">
      <c r="B308" s="83"/>
      <c r="C308" s="83"/>
      <c r="D308" s="141"/>
      <c r="E308" s="141"/>
      <c r="F308" s="141"/>
      <c r="G308" s="141"/>
      <c r="H308" s="141"/>
      <c r="I308" s="141"/>
    </row>
    <row r="309" spans="2:9" x14ac:dyDescent="0.3">
      <c r="B309" s="83"/>
      <c r="C309" s="83"/>
      <c r="D309" s="141"/>
      <c r="E309" s="141"/>
      <c r="F309" s="141"/>
      <c r="G309" s="141"/>
      <c r="H309" s="141"/>
      <c r="I309" s="141"/>
    </row>
    <row r="310" spans="2:9" x14ac:dyDescent="0.3">
      <c r="B310" s="83"/>
      <c r="C310" s="83"/>
      <c r="D310" s="141"/>
      <c r="E310" s="141"/>
      <c r="F310" s="141"/>
      <c r="G310" s="141"/>
      <c r="H310" s="141"/>
      <c r="I310" s="141"/>
    </row>
    <row r="311" spans="2:9" x14ac:dyDescent="0.3">
      <c r="B311" s="83"/>
      <c r="C311" s="83"/>
      <c r="D311" s="141"/>
      <c r="E311" s="141"/>
      <c r="F311" s="141"/>
      <c r="G311" s="141"/>
      <c r="H311" s="141"/>
      <c r="I311" s="141"/>
    </row>
    <row r="312" spans="2:9" x14ac:dyDescent="0.3">
      <c r="B312" s="83"/>
      <c r="C312" s="83"/>
      <c r="D312" s="141"/>
      <c r="E312" s="141"/>
      <c r="F312" s="141"/>
      <c r="G312" s="141"/>
      <c r="H312" s="141"/>
      <c r="I312" s="141"/>
    </row>
    <row r="313" spans="2:9" x14ac:dyDescent="0.3">
      <c r="B313" s="83"/>
      <c r="C313" s="83"/>
      <c r="D313" s="141"/>
      <c r="E313" s="141"/>
      <c r="F313" s="141"/>
      <c r="G313" s="141"/>
      <c r="H313" s="141"/>
      <c r="I313" s="141"/>
    </row>
    <row r="314" spans="2:9" x14ac:dyDescent="0.3">
      <c r="B314" s="83"/>
      <c r="C314" s="83"/>
      <c r="D314" s="141"/>
      <c r="E314" s="141"/>
      <c r="F314" s="141"/>
      <c r="G314" s="141"/>
      <c r="H314" s="141"/>
      <c r="I314" s="141"/>
    </row>
    <row r="315" spans="2:9" x14ac:dyDescent="0.3">
      <c r="B315" s="83"/>
      <c r="C315" s="83"/>
      <c r="D315" s="141"/>
      <c r="E315" s="141"/>
      <c r="F315" s="141"/>
      <c r="G315" s="141"/>
      <c r="H315" s="141"/>
      <c r="I315" s="141"/>
    </row>
    <row r="316" spans="2:9" x14ac:dyDescent="0.3">
      <c r="B316" s="83"/>
      <c r="C316" s="83"/>
      <c r="D316" s="141"/>
      <c r="E316" s="141"/>
      <c r="F316" s="141"/>
      <c r="G316" s="141"/>
      <c r="H316" s="141"/>
      <c r="I316" s="141"/>
    </row>
    <row r="317" spans="2:9" x14ac:dyDescent="0.3">
      <c r="B317" s="83"/>
      <c r="C317" s="83"/>
      <c r="D317" s="141"/>
      <c r="E317" s="141"/>
      <c r="F317" s="141"/>
      <c r="G317" s="141"/>
      <c r="H317" s="141"/>
      <c r="I317" s="141"/>
    </row>
    <row r="318" spans="2:9" x14ac:dyDescent="0.3">
      <c r="B318" s="83"/>
      <c r="C318" s="83"/>
      <c r="D318" s="141"/>
      <c r="E318" s="141"/>
      <c r="F318" s="141"/>
      <c r="G318" s="141"/>
      <c r="H318" s="141"/>
      <c r="I318" s="141"/>
    </row>
    <row r="319" spans="2:9" x14ac:dyDescent="0.3">
      <c r="B319" s="83"/>
      <c r="C319" s="83"/>
      <c r="D319" s="141"/>
      <c r="E319" s="141"/>
      <c r="F319" s="141"/>
      <c r="G319" s="141"/>
      <c r="H319" s="141"/>
      <c r="I319" s="141"/>
    </row>
    <row r="320" spans="2:9" x14ac:dyDescent="0.3">
      <c r="B320" s="83"/>
      <c r="C320" s="83"/>
      <c r="D320" s="141"/>
      <c r="E320" s="141"/>
      <c r="F320" s="141"/>
      <c r="G320" s="141"/>
      <c r="H320" s="141"/>
      <c r="I320" s="141"/>
    </row>
    <row r="321" spans="2:22" x14ac:dyDescent="0.3">
      <c r="B321" s="83"/>
      <c r="C321" s="83"/>
      <c r="D321" s="141"/>
      <c r="E321" s="141"/>
      <c r="F321" s="141"/>
      <c r="G321" s="141"/>
      <c r="H321" s="141"/>
      <c r="I321" s="141"/>
    </row>
    <row r="322" spans="2:22" x14ac:dyDescent="0.3">
      <c r="B322" s="83"/>
      <c r="C322" s="83"/>
      <c r="D322" s="141"/>
      <c r="E322" s="141"/>
      <c r="F322" s="141"/>
      <c r="G322" s="141"/>
      <c r="H322" s="141"/>
      <c r="I322" s="141"/>
    </row>
    <row r="323" spans="2:22" x14ac:dyDescent="0.3">
      <c r="B323" s="83"/>
      <c r="C323" s="83"/>
      <c r="D323" s="141"/>
      <c r="E323" s="141"/>
      <c r="F323" s="141"/>
      <c r="G323" s="141"/>
      <c r="H323" s="141"/>
      <c r="I323" s="141"/>
    </row>
    <row r="324" spans="2:22" x14ac:dyDescent="0.3">
      <c r="B324" s="83"/>
      <c r="C324" s="83"/>
      <c r="D324" s="141"/>
      <c r="E324" s="141"/>
      <c r="F324" s="141"/>
      <c r="G324" s="141"/>
      <c r="H324" s="141"/>
      <c r="I324" s="141"/>
    </row>
    <row r="325" spans="2:22" x14ac:dyDescent="0.3">
      <c r="B325" s="83"/>
      <c r="C325" s="83"/>
      <c r="D325" s="141"/>
      <c r="E325" s="141"/>
      <c r="F325" s="141"/>
      <c r="G325" s="141"/>
      <c r="H325" s="141"/>
      <c r="I325" s="141"/>
      <c r="P325" s="65" t="s">
        <v>85</v>
      </c>
      <c r="Q325" s="9">
        <v>2019</v>
      </c>
      <c r="R325" s="9">
        <v>2020</v>
      </c>
      <c r="S325" s="9">
        <v>2021</v>
      </c>
      <c r="T325" s="9">
        <v>2022</v>
      </c>
      <c r="U325" s="9">
        <v>2023</v>
      </c>
      <c r="V325" s="9" t="s">
        <v>179</v>
      </c>
    </row>
    <row r="326" spans="2:22" x14ac:dyDescent="0.3">
      <c r="B326" s="83"/>
      <c r="C326" s="83"/>
      <c r="D326" s="141"/>
      <c r="E326" s="141"/>
      <c r="F326" s="141"/>
      <c r="G326" s="141"/>
      <c r="H326" s="141"/>
      <c r="I326" s="141"/>
      <c r="P326" s="65" t="s">
        <v>178</v>
      </c>
      <c r="Q326" s="79">
        <f>670+45</f>
        <v>715</v>
      </c>
      <c r="R326" s="79">
        <f>556+45</f>
        <v>601</v>
      </c>
      <c r="S326" s="79">
        <f>576+45</f>
        <v>621</v>
      </c>
      <c r="T326" s="79">
        <f>342+45</f>
        <v>387</v>
      </c>
      <c r="U326" s="79">
        <f>340+45</f>
        <v>385</v>
      </c>
      <c r="V326" s="9">
        <f>AVERAGE(Q326:U326)</f>
        <v>541.79999999999995</v>
      </c>
    </row>
    <row r="327" spans="2:22" x14ac:dyDescent="0.3">
      <c r="B327" s="83"/>
      <c r="C327" s="83"/>
      <c r="D327" s="141"/>
      <c r="E327" s="141"/>
      <c r="F327" s="141"/>
      <c r="G327" s="141"/>
      <c r="H327" s="141"/>
      <c r="I327" s="141"/>
      <c r="P327" s="65" t="s">
        <v>175</v>
      </c>
      <c r="Q327" s="79">
        <f>879-Q326-Q329</f>
        <v>94</v>
      </c>
      <c r="R327" s="79">
        <f>758-R326-R329</f>
        <v>92</v>
      </c>
      <c r="S327" s="79">
        <f>812-S326-S329</f>
        <v>121</v>
      </c>
      <c r="T327" s="79">
        <f>601-T326-T329</f>
        <v>142</v>
      </c>
      <c r="U327" s="79">
        <f>597-U326-U329</f>
        <v>142</v>
      </c>
      <c r="V327" s="9">
        <f t="shared" ref="V327:V332" si="48">AVERAGE(Q327:U327)</f>
        <v>118.2</v>
      </c>
    </row>
    <row r="328" spans="2:22" x14ac:dyDescent="0.3">
      <c r="B328" s="83"/>
      <c r="C328" s="83"/>
      <c r="D328" s="141"/>
      <c r="E328" s="141"/>
      <c r="F328" s="141"/>
      <c r="G328" s="141"/>
      <c r="H328" s="141"/>
      <c r="I328" s="141"/>
      <c r="P328" s="65" t="s">
        <v>174</v>
      </c>
      <c r="Q328" s="79">
        <v>0</v>
      </c>
      <c r="R328" s="79">
        <v>0</v>
      </c>
      <c r="S328" s="79">
        <v>0</v>
      </c>
      <c r="T328" s="79">
        <v>0</v>
      </c>
      <c r="U328" s="79">
        <v>0</v>
      </c>
      <c r="V328" s="9">
        <f t="shared" si="48"/>
        <v>0</v>
      </c>
    </row>
    <row r="329" spans="2:22" x14ac:dyDescent="0.3">
      <c r="B329" s="83"/>
      <c r="C329" s="83"/>
      <c r="D329" s="141"/>
      <c r="E329" s="141"/>
      <c r="F329" s="141"/>
      <c r="G329" s="141"/>
      <c r="H329" s="141"/>
      <c r="I329" s="141"/>
      <c r="P329" s="65" t="s">
        <v>176</v>
      </c>
      <c r="Q329" s="79">
        <v>70</v>
      </c>
      <c r="R329" s="79">
        <v>65</v>
      </c>
      <c r="S329" s="79">
        <v>70</v>
      </c>
      <c r="T329" s="79">
        <v>72</v>
      </c>
      <c r="U329" s="79">
        <v>70</v>
      </c>
      <c r="V329" s="9">
        <f t="shared" si="48"/>
        <v>69.400000000000006</v>
      </c>
    </row>
    <row r="330" spans="2:22" x14ac:dyDescent="0.3">
      <c r="B330" s="83"/>
      <c r="C330" s="83"/>
      <c r="D330" s="141"/>
      <c r="E330" s="141"/>
      <c r="F330" s="141"/>
      <c r="G330" s="141"/>
      <c r="H330" s="141"/>
      <c r="I330" s="141"/>
      <c r="P330" s="65" t="s">
        <v>196</v>
      </c>
      <c r="Q330" s="112">
        <f>Q326/SUM(Q326:Q329)</f>
        <v>0.81342434584755408</v>
      </c>
      <c r="R330" s="112">
        <f t="shared" ref="R330:U330" si="49">R326/SUM(R326:R329)</f>
        <v>0.79287598944591031</v>
      </c>
      <c r="S330" s="112">
        <f t="shared" si="49"/>
        <v>0.76477832512315269</v>
      </c>
      <c r="T330" s="112">
        <f t="shared" si="49"/>
        <v>0.64392678868552411</v>
      </c>
      <c r="U330" s="112">
        <f t="shared" si="49"/>
        <v>0.64489112227805701</v>
      </c>
      <c r="V330" s="130">
        <f t="shared" si="48"/>
        <v>0.73197931427603957</v>
      </c>
    </row>
    <row r="331" spans="2:22" x14ac:dyDescent="0.3">
      <c r="B331" s="83"/>
      <c r="C331" s="83"/>
      <c r="D331" s="141"/>
      <c r="E331" s="141"/>
      <c r="F331" s="141"/>
      <c r="G331" s="141"/>
      <c r="H331" s="141"/>
      <c r="I331" s="141"/>
      <c r="P331" s="65" t="s">
        <v>197</v>
      </c>
      <c r="Q331" s="112">
        <f>(Q327+Q328)/SUM(Q326:Q329)</f>
        <v>0.10693970420932879</v>
      </c>
      <c r="R331" s="112">
        <f t="shared" ref="R331:U331" si="50">(R327+R328)/SUM(R326:R329)</f>
        <v>0.12137203166226913</v>
      </c>
      <c r="S331" s="112">
        <f t="shared" si="50"/>
        <v>0.14901477832512317</v>
      </c>
      <c r="T331" s="112">
        <f t="shared" si="50"/>
        <v>0.23627287853577372</v>
      </c>
      <c r="U331" s="112">
        <f t="shared" si="50"/>
        <v>0.23785594639865998</v>
      </c>
      <c r="V331" s="130">
        <f t="shared" si="48"/>
        <v>0.17029106782623096</v>
      </c>
    </row>
    <row r="332" spans="2:22" x14ac:dyDescent="0.3">
      <c r="B332" s="83"/>
      <c r="C332" s="83"/>
      <c r="D332" s="141"/>
      <c r="E332" s="141"/>
      <c r="F332" s="141"/>
      <c r="G332" s="141"/>
      <c r="H332" s="141"/>
      <c r="I332" s="141"/>
      <c r="P332" s="65" t="s">
        <v>198</v>
      </c>
      <c r="Q332" s="112">
        <f>Q329/SUM(Q326:Q329)</f>
        <v>7.9635949943117179E-2</v>
      </c>
      <c r="R332" s="112">
        <f t="shared" ref="R332:U332" si="51">R329/SUM(R326:R329)</f>
        <v>8.5751978891820582E-2</v>
      </c>
      <c r="S332" s="112">
        <f t="shared" si="51"/>
        <v>8.6206896551724144E-2</v>
      </c>
      <c r="T332" s="112">
        <f t="shared" si="51"/>
        <v>0.11980033277870217</v>
      </c>
      <c r="U332" s="112">
        <f t="shared" si="51"/>
        <v>0.11725293132328309</v>
      </c>
      <c r="V332" s="130">
        <f t="shared" si="48"/>
        <v>9.7729617897729423E-2</v>
      </c>
    </row>
    <row r="333" spans="2:22" x14ac:dyDescent="0.3">
      <c r="B333" s="83"/>
      <c r="C333" s="83"/>
      <c r="D333" s="141"/>
      <c r="E333" s="141"/>
      <c r="F333" s="141"/>
      <c r="G333" s="141"/>
      <c r="H333" s="141"/>
      <c r="I333" s="141"/>
    </row>
    <row r="334" spans="2:22" x14ac:dyDescent="0.3">
      <c r="B334" s="83"/>
      <c r="C334" s="83"/>
      <c r="D334" s="141"/>
      <c r="E334" s="141"/>
      <c r="F334" s="141"/>
      <c r="G334" s="141"/>
      <c r="H334" s="141"/>
      <c r="I334" s="141"/>
      <c r="P334" s="90" t="s">
        <v>220</v>
      </c>
    </row>
    <row r="335" spans="2:22" x14ac:dyDescent="0.3">
      <c r="B335" s="83"/>
      <c r="C335" s="83"/>
      <c r="D335" s="141"/>
      <c r="E335" s="141"/>
      <c r="F335" s="141"/>
      <c r="G335" s="141"/>
      <c r="H335" s="141"/>
      <c r="I335" s="141"/>
      <c r="P335" s="90" t="s">
        <v>221</v>
      </c>
    </row>
    <row r="336" spans="2:22" x14ac:dyDescent="0.3">
      <c r="B336" s="83"/>
      <c r="C336" s="83"/>
      <c r="D336" s="141"/>
      <c r="E336" s="141"/>
      <c r="F336" s="141"/>
      <c r="G336" s="141"/>
      <c r="H336" s="141"/>
      <c r="I336" s="141"/>
      <c r="P336" s="90" t="s">
        <v>222</v>
      </c>
    </row>
    <row r="337" spans="2:24" x14ac:dyDescent="0.3">
      <c r="B337" s="83"/>
      <c r="C337" s="83"/>
      <c r="D337" s="141"/>
      <c r="E337" s="141"/>
      <c r="F337" s="141"/>
      <c r="G337" s="141"/>
      <c r="H337" s="141"/>
      <c r="I337" s="141"/>
      <c r="K337" t="s">
        <v>231</v>
      </c>
    </row>
    <row r="338" spans="2:24" x14ac:dyDescent="0.3">
      <c r="B338" s="83"/>
      <c r="C338" s="83"/>
      <c r="D338" s="141"/>
      <c r="E338" s="141"/>
      <c r="F338" s="141"/>
      <c r="G338" s="141"/>
      <c r="H338" s="141"/>
      <c r="I338" s="141"/>
      <c r="L338" s="9">
        <v>2010</v>
      </c>
      <c r="M338" s="9">
        <v>2011</v>
      </c>
      <c r="N338" s="9">
        <v>2012</v>
      </c>
      <c r="O338" s="9">
        <v>2013</v>
      </c>
      <c r="P338" s="9">
        <v>2014</v>
      </c>
      <c r="Q338" s="9">
        <v>2015</v>
      </c>
      <c r="R338" s="9">
        <v>2016</v>
      </c>
      <c r="S338" s="9">
        <v>2017</v>
      </c>
      <c r="T338" s="9">
        <v>2018</v>
      </c>
      <c r="U338" s="9">
        <v>2019</v>
      </c>
      <c r="V338" s="9">
        <v>2020</v>
      </c>
      <c r="W338" s="9">
        <v>2021</v>
      </c>
      <c r="X338" s="9">
        <v>2022</v>
      </c>
    </row>
    <row r="339" spans="2:24" x14ac:dyDescent="0.3">
      <c r="B339" s="83"/>
      <c r="C339" s="83"/>
      <c r="D339" s="141"/>
      <c r="E339" s="141"/>
      <c r="F339" s="141"/>
      <c r="G339" s="141"/>
      <c r="H339" s="141"/>
      <c r="I339" s="141"/>
      <c r="K339" t="s">
        <v>232</v>
      </c>
      <c r="L339" s="3">
        <f>'Calcul Fr métro'!C105</f>
        <v>62765235</v>
      </c>
      <c r="M339" s="3">
        <f>'Calcul Fr métro'!D105</f>
        <v>63070344</v>
      </c>
      <c r="N339" s="3">
        <f>'Calcul Fr métro'!E105</f>
        <v>63375971</v>
      </c>
      <c r="O339" s="3">
        <f>'Calcul Fr métro'!F105</f>
        <v>63697865</v>
      </c>
      <c r="P339" s="3">
        <f>'Calcul Fr métro'!G105</f>
        <v>64027958</v>
      </c>
      <c r="Q339" s="3">
        <f>'Calcul Fr métro'!H105</f>
        <v>64300821</v>
      </c>
      <c r="R339" s="3">
        <f>'Calcul Fr métro'!I105</f>
        <v>64468792</v>
      </c>
      <c r="S339" s="3">
        <f>'Calcul Fr métro'!J105</f>
        <v>64639133</v>
      </c>
      <c r="T339" s="3">
        <f>'Calcul Fr métro'!K105</f>
        <v>64844037</v>
      </c>
      <c r="U339" s="3">
        <f>'Calcul Fr métro'!L105</f>
        <v>65096768</v>
      </c>
      <c r="V339" s="3">
        <f>'Calcul Fr métro'!M105</f>
        <v>65269154</v>
      </c>
      <c r="W339" s="3">
        <f>'Calcul Fr métro'!N105</f>
        <v>65505213</v>
      </c>
      <c r="X339" s="3">
        <f>'Calcul Fr métro'!O105</f>
        <v>65721831</v>
      </c>
    </row>
    <row r="340" spans="2:24" x14ac:dyDescent="0.3">
      <c r="B340" s="83"/>
      <c r="C340" s="83"/>
      <c r="D340" s="141"/>
      <c r="E340" s="141"/>
      <c r="F340" s="141"/>
      <c r="G340" s="141"/>
      <c r="H340" s="141"/>
      <c r="I340" s="141"/>
      <c r="K340" t="s">
        <v>233</v>
      </c>
      <c r="L340" s="166">
        <f>$I$452*676</f>
        <v>318.55342465753426</v>
      </c>
      <c r="M340" s="166">
        <f>$I$452*627</f>
        <v>295.46301369863016</v>
      </c>
      <c r="N340" s="166">
        <f>$I$452*794</f>
        <v>374.15890410958912</v>
      </c>
      <c r="O340" s="166">
        <f>$I$452*707</f>
        <v>333.16164383561647</v>
      </c>
      <c r="P340" s="166">
        <f>$I$452*713</f>
        <v>335.98904109589046</v>
      </c>
      <c r="Q340" s="166">
        <f>$I$452*786</f>
        <v>370.38904109589043</v>
      </c>
      <c r="R340" s="166">
        <f>$I$452*997</f>
        <v>469.81917808219185</v>
      </c>
      <c r="S340" s="166">
        <f>$I$452*1097</f>
        <v>516.9424657534247</v>
      </c>
      <c r="T340" s="166">
        <f>$I$452*835</f>
        <v>393.47945205479459</v>
      </c>
      <c r="U340" s="166">
        <f>$I$452*808</f>
        <v>380.75616438356167</v>
      </c>
      <c r="V340" s="166">
        <f>$I$452*879</f>
        <v>414.21369863013706</v>
      </c>
      <c r="W340" s="166">
        <f>$I$452*758</f>
        <v>357.19452054794527</v>
      </c>
      <c r="X340" s="166">
        <f>$I$452*812</f>
        <v>382.64109589041101</v>
      </c>
    </row>
    <row r="341" spans="2:24" x14ac:dyDescent="0.3">
      <c r="B341" s="83"/>
      <c r="C341" s="83"/>
      <c r="D341" s="141"/>
      <c r="E341" s="141"/>
      <c r="F341" s="141"/>
      <c r="G341" s="141"/>
      <c r="H341" s="141"/>
      <c r="I341" s="141"/>
      <c r="K341" t="s">
        <v>234</v>
      </c>
      <c r="L341" s="60">
        <f t="shared" ref="L341:X341" si="52">L340*1000000/L339</f>
        <v>5.0753163699225254</v>
      </c>
      <c r="M341" s="60">
        <f t="shared" si="52"/>
        <v>4.6846583506604969</v>
      </c>
      <c r="N341" s="60">
        <f t="shared" si="52"/>
        <v>5.9037975782586294</v>
      </c>
      <c r="O341" s="60">
        <f t="shared" si="52"/>
        <v>5.2303423958654891</v>
      </c>
      <c r="P341" s="60">
        <f t="shared" si="52"/>
        <v>5.2475364136380929</v>
      </c>
      <c r="Q341" s="60">
        <f t="shared" si="52"/>
        <v>5.7602536847218557</v>
      </c>
      <c r="R341" s="60">
        <f t="shared" si="52"/>
        <v>7.2875443064326664</v>
      </c>
      <c r="S341" s="60">
        <f t="shared" si="52"/>
        <v>7.9973607590532616</v>
      </c>
      <c r="T341" s="60">
        <f t="shared" si="52"/>
        <v>6.0680899934529773</v>
      </c>
      <c r="U341" s="60">
        <f t="shared" si="52"/>
        <v>5.8490793949027031</v>
      </c>
      <c r="V341" s="60">
        <f t="shared" si="52"/>
        <v>6.346239735697158</v>
      </c>
      <c r="W341" s="60">
        <f t="shared" si="52"/>
        <v>5.4529174731169148</v>
      </c>
      <c r="X341" s="60">
        <f t="shared" si="52"/>
        <v>5.822130790762829</v>
      </c>
    </row>
    <row r="342" spans="2:24" x14ac:dyDescent="0.3">
      <c r="B342" s="83"/>
      <c r="C342" s="83"/>
      <c r="D342" s="141"/>
      <c r="E342" s="141"/>
      <c r="F342" s="141"/>
      <c r="G342" s="141"/>
      <c r="H342" s="141"/>
      <c r="I342" s="141"/>
    </row>
    <row r="343" spans="2:24" x14ac:dyDescent="0.3">
      <c r="B343" s="83"/>
      <c r="C343" s="83"/>
      <c r="D343" s="141"/>
      <c r="E343" s="141"/>
      <c r="F343" s="141"/>
      <c r="G343" s="141"/>
      <c r="H343" s="141"/>
      <c r="I343" s="141"/>
    </row>
    <row r="344" spans="2:24" x14ac:dyDescent="0.3">
      <c r="B344" s="83"/>
      <c r="C344" s="83"/>
      <c r="D344" s="141"/>
      <c r="E344" s="141"/>
      <c r="F344" s="141"/>
      <c r="G344" s="141"/>
      <c r="H344" s="141"/>
      <c r="I344" s="141"/>
    </row>
    <row r="345" spans="2:24" x14ac:dyDescent="0.3">
      <c r="B345" s="83"/>
      <c r="C345" s="83"/>
      <c r="D345" s="141"/>
      <c r="E345" s="141"/>
      <c r="F345" s="141"/>
      <c r="G345" s="141"/>
      <c r="H345" s="141"/>
      <c r="I345" s="141"/>
    </row>
    <row r="346" spans="2:24" x14ac:dyDescent="0.3">
      <c r="B346" s="83"/>
      <c r="C346" s="83"/>
      <c r="D346" s="141"/>
      <c r="E346" s="141"/>
      <c r="F346" s="141"/>
      <c r="G346" s="141"/>
      <c r="H346" s="141"/>
      <c r="I346" s="141"/>
    </row>
    <row r="347" spans="2:24" x14ac:dyDescent="0.3">
      <c r="B347" s="83"/>
      <c r="C347" s="83"/>
      <c r="D347" s="141"/>
      <c r="E347" s="141"/>
      <c r="F347" s="141"/>
      <c r="G347" s="141"/>
      <c r="H347" s="141"/>
      <c r="I347" s="141"/>
    </row>
    <row r="348" spans="2:24" x14ac:dyDescent="0.3">
      <c r="B348" s="83"/>
      <c r="C348" s="83"/>
      <c r="D348" s="141"/>
      <c r="E348" s="141"/>
      <c r="F348" s="141"/>
      <c r="G348" s="141"/>
      <c r="H348" s="141"/>
      <c r="I348" s="141"/>
    </row>
    <row r="349" spans="2:24" x14ac:dyDescent="0.3">
      <c r="B349" s="83"/>
      <c r="C349" s="83"/>
      <c r="D349" s="141"/>
      <c r="E349" s="141"/>
      <c r="F349" s="141"/>
      <c r="G349" s="141"/>
      <c r="H349" s="141"/>
      <c r="I349" s="141"/>
    </row>
    <row r="350" spans="2:24" x14ac:dyDescent="0.3">
      <c r="B350" s="83"/>
      <c r="C350" s="83"/>
      <c r="D350" s="141"/>
      <c r="E350" s="141"/>
      <c r="F350" s="141"/>
      <c r="G350" s="141"/>
      <c r="H350" s="141"/>
      <c r="I350" s="141"/>
    </row>
    <row r="351" spans="2:24" x14ac:dyDescent="0.3">
      <c r="B351" s="83"/>
      <c r="C351" s="83"/>
      <c r="D351" s="141"/>
      <c r="E351" s="141"/>
      <c r="F351" s="141"/>
      <c r="G351" s="141"/>
      <c r="H351" s="141"/>
      <c r="I351" s="141"/>
    </row>
    <row r="352" spans="2:24" x14ac:dyDescent="0.3">
      <c r="B352" s="83"/>
      <c r="C352" s="83"/>
      <c r="D352" s="141"/>
      <c r="E352" s="141"/>
      <c r="F352" s="141"/>
      <c r="G352" s="141"/>
      <c r="H352" s="141"/>
      <c r="I352" s="141"/>
    </row>
    <row r="353" spans="2:19" x14ac:dyDescent="0.3">
      <c r="B353" s="83"/>
      <c r="C353" s="83"/>
      <c r="D353" s="141"/>
      <c r="E353" s="141"/>
      <c r="F353" s="141"/>
      <c r="G353" s="141"/>
      <c r="H353" s="141"/>
      <c r="I353" s="141"/>
    </row>
    <row r="354" spans="2:19" x14ac:dyDescent="0.3">
      <c r="B354" s="83"/>
      <c r="C354" s="83"/>
      <c r="D354" s="141"/>
      <c r="E354" s="141"/>
      <c r="F354" s="141"/>
      <c r="G354" s="141"/>
      <c r="H354" s="141"/>
      <c r="I354" s="141"/>
    </row>
    <row r="355" spans="2:19" x14ac:dyDescent="0.3">
      <c r="B355" s="83"/>
      <c r="C355" s="83"/>
      <c r="D355" s="141"/>
      <c r="E355" s="141"/>
      <c r="F355" s="141"/>
      <c r="G355" s="141"/>
      <c r="H355" s="141"/>
      <c r="I355" s="141"/>
    </row>
    <row r="356" spans="2:19" x14ac:dyDescent="0.3">
      <c r="B356" s="83"/>
      <c r="C356" s="83"/>
      <c r="D356" s="141"/>
      <c r="E356" s="141"/>
      <c r="F356" s="141"/>
      <c r="G356" s="141"/>
      <c r="H356" s="141"/>
      <c r="I356" s="141"/>
    </row>
    <row r="357" spans="2:19" x14ac:dyDescent="0.3">
      <c r="B357" s="83"/>
      <c r="C357" s="83"/>
      <c r="D357" s="141"/>
      <c r="E357" s="141"/>
      <c r="F357" s="141"/>
      <c r="G357" s="141"/>
      <c r="H357" s="141"/>
      <c r="I357" s="141"/>
    </row>
    <row r="358" spans="2:19" x14ac:dyDescent="0.3">
      <c r="B358" s="83"/>
      <c r="C358" s="83"/>
      <c r="D358" s="141"/>
      <c r="E358" s="141"/>
      <c r="F358" s="141"/>
      <c r="G358" s="141"/>
      <c r="H358" s="141"/>
      <c r="I358" s="141"/>
    </row>
    <row r="359" spans="2:19" x14ac:dyDescent="0.3">
      <c r="B359" s="83"/>
      <c r="C359" s="83"/>
      <c r="D359" s="141"/>
      <c r="E359" s="141"/>
      <c r="F359" s="141"/>
      <c r="G359" s="141"/>
      <c r="H359" s="141"/>
      <c r="I359" s="141"/>
    </row>
    <row r="360" spans="2:19" x14ac:dyDescent="0.3">
      <c r="B360" s="83"/>
      <c r="C360" s="83"/>
      <c r="D360" s="141"/>
      <c r="E360" s="141"/>
      <c r="F360" s="141"/>
      <c r="G360" s="141"/>
      <c r="H360" s="141"/>
      <c r="I360" s="141"/>
    </row>
    <row r="361" spans="2:19" x14ac:dyDescent="0.3">
      <c r="B361" s="83"/>
      <c r="C361" s="83"/>
      <c r="D361" s="141"/>
      <c r="E361" s="141"/>
      <c r="F361" s="141"/>
      <c r="G361" s="141"/>
      <c r="H361" s="141"/>
      <c r="I361" s="141"/>
    </row>
    <row r="362" spans="2:19" x14ac:dyDescent="0.3">
      <c r="B362" s="83"/>
      <c r="C362" s="83"/>
      <c r="D362" s="141"/>
      <c r="E362" s="141"/>
      <c r="F362" s="141"/>
      <c r="G362" s="141"/>
      <c r="H362" s="141"/>
      <c r="I362" s="141"/>
    </row>
    <row r="363" spans="2:19" x14ac:dyDescent="0.3">
      <c r="B363" s="83"/>
      <c r="C363" s="83"/>
      <c r="D363" s="141"/>
      <c r="E363" s="141"/>
      <c r="F363" s="141"/>
      <c r="G363" s="141"/>
      <c r="H363" s="141"/>
      <c r="I363" s="141"/>
    </row>
    <row r="364" spans="2:19" x14ac:dyDescent="0.3">
      <c r="B364" s="83"/>
      <c r="C364" s="83"/>
      <c r="D364" s="141"/>
      <c r="E364" s="141"/>
      <c r="F364" s="141"/>
      <c r="G364" s="141"/>
      <c r="H364" s="141"/>
      <c r="I364" s="141"/>
    </row>
    <row r="365" spans="2:19" x14ac:dyDescent="0.3">
      <c r="M365" s="65" t="s">
        <v>182</v>
      </c>
      <c r="N365" s="9">
        <v>2019</v>
      </c>
      <c r="O365" s="9">
        <v>2020</v>
      </c>
      <c r="P365" s="9">
        <v>2021</v>
      </c>
      <c r="Q365" s="9">
        <v>2022</v>
      </c>
      <c r="R365" s="9">
        <v>2023</v>
      </c>
      <c r="S365" s="9" t="s">
        <v>179</v>
      </c>
    </row>
    <row r="366" spans="2:19" x14ac:dyDescent="0.3">
      <c r="M366" s="65" t="s">
        <v>178</v>
      </c>
      <c r="N366" s="79">
        <v>12</v>
      </c>
      <c r="O366" s="79">
        <v>10</v>
      </c>
      <c r="P366" s="79">
        <v>10</v>
      </c>
      <c r="Q366" s="79">
        <v>10</v>
      </c>
      <c r="R366" s="79">
        <v>10</v>
      </c>
      <c r="S366" s="9">
        <f>AVERAGE(N366:R366)</f>
        <v>10.4</v>
      </c>
    </row>
    <row r="367" spans="2:19" x14ac:dyDescent="0.3">
      <c r="M367" s="65" t="s">
        <v>175</v>
      </c>
      <c r="N367" s="79">
        <v>45</v>
      </c>
      <c r="O367" s="79">
        <v>31</v>
      </c>
      <c r="P367" s="79">
        <v>70</v>
      </c>
      <c r="Q367" s="79">
        <v>44</v>
      </c>
      <c r="R367" s="79">
        <v>26</v>
      </c>
      <c r="S367" s="9">
        <f t="shared" ref="S367:S371" si="53">AVERAGE(N367:R367)</f>
        <v>43.2</v>
      </c>
    </row>
    <row r="368" spans="2:19" x14ac:dyDescent="0.3">
      <c r="M368" s="65" t="s">
        <v>174</v>
      </c>
      <c r="N368" s="79"/>
      <c r="O368" s="79"/>
      <c r="P368" s="79"/>
      <c r="Q368" s="79"/>
      <c r="R368" s="79"/>
      <c r="S368" s="9" t="e">
        <f t="shared" si="53"/>
        <v>#DIV/0!</v>
      </c>
    </row>
    <row r="369" spans="13:19" x14ac:dyDescent="0.3">
      <c r="M369" s="65" t="s">
        <v>176</v>
      </c>
      <c r="N369" s="79">
        <v>22</v>
      </c>
      <c r="O369" s="79">
        <v>19</v>
      </c>
      <c r="P369" s="79">
        <v>23</v>
      </c>
      <c r="Q369" s="79">
        <v>29</v>
      </c>
      <c r="R369" s="79">
        <v>35</v>
      </c>
      <c r="S369" s="9">
        <f t="shared" si="53"/>
        <v>25.6</v>
      </c>
    </row>
    <row r="370" spans="13:19" x14ac:dyDescent="0.3">
      <c r="M370" s="65" t="s">
        <v>177</v>
      </c>
      <c r="N370" s="112">
        <f>SUM(N366:N368)/SUM(N366:N369)</f>
        <v>0.72151898734177211</v>
      </c>
      <c r="O370" s="112">
        <f t="shared" ref="O370" si="54">SUM(O366:O368)/SUM(O366:O369)</f>
        <v>0.68333333333333335</v>
      </c>
      <c r="P370" s="112">
        <f t="shared" ref="P370" si="55">SUM(P366:P368)/SUM(P366:P369)</f>
        <v>0.77669902912621358</v>
      </c>
      <c r="Q370" s="112">
        <f t="shared" ref="Q370:R370" si="56">SUM(Q366:Q368)/SUM(Q366:Q369)</f>
        <v>0.6506024096385542</v>
      </c>
      <c r="R370" s="112">
        <f t="shared" si="56"/>
        <v>0.50704225352112675</v>
      </c>
      <c r="S370" s="130">
        <f t="shared" si="53"/>
        <v>0.66783920259220009</v>
      </c>
    </row>
    <row r="371" spans="13:19" x14ac:dyDescent="0.3">
      <c r="M371" s="65" t="s">
        <v>180</v>
      </c>
      <c r="N371" s="112">
        <f>N368/SUM(N366:N369)</f>
        <v>0</v>
      </c>
      <c r="O371" s="112">
        <f t="shared" ref="O371:R371" si="57">O368/SUM(O366:O369)</f>
        <v>0</v>
      </c>
      <c r="P371" s="112">
        <f t="shared" si="57"/>
        <v>0</v>
      </c>
      <c r="Q371" s="112">
        <f t="shared" si="57"/>
        <v>0</v>
      </c>
      <c r="R371" s="112">
        <f t="shared" si="57"/>
        <v>0</v>
      </c>
      <c r="S371" s="130">
        <f t="shared" si="53"/>
        <v>0</v>
      </c>
    </row>
    <row r="401" spans="13:19" x14ac:dyDescent="0.3">
      <c r="M401" s="65" t="s">
        <v>183</v>
      </c>
      <c r="N401" s="9">
        <v>2019</v>
      </c>
      <c r="O401" s="9">
        <v>2020</v>
      </c>
      <c r="P401" s="9">
        <v>2021</v>
      </c>
      <c r="Q401" s="9">
        <v>2022</v>
      </c>
      <c r="R401" s="9">
        <v>2023</v>
      </c>
      <c r="S401" s="9" t="s">
        <v>179</v>
      </c>
    </row>
    <row r="402" spans="13:19" x14ac:dyDescent="0.3">
      <c r="M402" s="65" t="s">
        <v>178</v>
      </c>
      <c r="N402" s="79">
        <v>140</v>
      </c>
      <c r="O402" s="79">
        <v>150</v>
      </c>
      <c r="P402" s="79">
        <v>150</v>
      </c>
      <c r="Q402" s="79">
        <v>150</v>
      </c>
      <c r="R402" s="79">
        <v>150</v>
      </c>
      <c r="S402" s="9">
        <f>AVERAGE(N402:R402)</f>
        <v>148</v>
      </c>
    </row>
    <row r="403" spans="13:19" x14ac:dyDescent="0.3">
      <c r="M403" s="65" t="s">
        <v>175</v>
      </c>
      <c r="N403" s="79">
        <v>72</v>
      </c>
      <c r="O403" s="79">
        <v>93</v>
      </c>
      <c r="P403" s="79">
        <v>47</v>
      </c>
      <c r="Q403" s="79">
        <v>16</v>
      </c>
      <c r="R403" s="79">
        <v>16</v>
      </c>
      <c r="S403" s="9">
        <f t="shared" ref="S403:S407" si="58">AVERAGE(N403:R403)</f>
        <v>48.8</v>
      </c>
    </row>
    <row r="404" spans="13:19" x14ac:dyDescent="0.3">
      <c r="M404" s="65" t="s">
        <v>174</v>
      </c>
      <c r="N404" s="79"/>
      <c r="O404" s="79"/>
      <c r="P404" s="79"/>
      <c r="Q404" s="79"/>
      <c r="R404" s="79"/>
      <c r="S404" s="9" t="e">
        <f t="shared" si="58"/>
        <v>#DIV/0!</v>
      </c>
    </row>
    <row r="405" spans="13:19" x14ac:dyDescent="0.3">
      <c r="M405" s="65" t="s">
        <v>176</v>
      </c>
      <c r="N405" s="79">
        <v>100</v>
      </c>
      <c r="O405" s="79">
        <v>90</v>
      </c>
      <c r="P405" s="79">
        <v>66</v>
      </c>
      <c r="Q405" s="79">
        <v>57</v>
      </c>
      <c r="R405" s="79">
        <v>90</v>
      </c>
      <c r="S405" s="9">
        <f t="shared" si="58"/>
        <v>80.599999999999994</v>
      </c>
    </row>
    <row r="406" spans="13:19" x14ac:dyDescent="0.3">
      <c r="M406" s="65" t="s">
        <v>177</v>
      </c>
      <c r="N406" s="112">
        <f>SUM(N402:N404)/SUM(N402:N405)</f>
        <v>0.67948717948717952</v>
      </c>
      <c r="O406" s="112">
        <f t="shared" ref="O406" si="59">SUM(O402:O404)/SUM(O402:O405)</f>
        <v>0.72972972972972971</v>
      </c>
      <c r="P406" s="112">
        <f t="shared" ref="P406" si="60">SUM(P402:P404)/SUM(P402:P405)</f>
        <v>0.74904942965779464</v>
      </c>
      <c r="Q406" s="112">
        <f t="shared" ref="Q406:R406" si="61">SUM(Q402:Q404)/SUM(Q402:Q405)</f>
        <v>0.74439461883408076</v>
      </c>
      <c r="R406" s="112">
        <f t="shared" si="61"/>
        <v>0.6484375</v>
      </c>
      <c r="S406" s="130">
        <f t="shared" si="58"/>
        <v>0.7102196915417569</v>
      </c>
    </row>
    <row r="407" spans="13:19" x14ac:dyDescent="0.3">
      <c r="M407" s="65" t="s">
        <v>180</v>
      </c>
      <c r="N407" s="112">
        <f>N404/SUM(N402:N405)</f>
        <v>0</v>
      </c>
      <c r="O407" s="112">
        <f t="shared" ref="O407:R407" si="62">O404/SUM(O402:O405)</f>
        <v>0</v>
      </c>
      <c r="P407" s="112">
        <f t="shared" si="62"/>
        <v>0</v>
      </c>
      <c r="Q407" s="112">
        <f t="shared" si="62"/>
        <v>0</v>
      </c>
      <c r="R407" s="112">
        <f t="shared" si="62"/>
        <v>0</v>
      </c>
      <c r="S407" s="130">
        <f t="shared" si="58"/>
        <v>0</v>
      </c>
    </row>
    <row r="439" spans="1:10" x14ac:dyDescent="0.3">
      <c r="A439" s="61" t="s">
        <v>271</v>
      </c>
      <c r="B439" s="61"/>
      <c r="C439" s="61"/>
      <c r="D439" s="61"/>
      <c r="E439" s="61"/>
      <c r="F439" s="61"/>
      <c r="G439" s="61"/>
      <c r="H439" s="61"/>
      <c r="J439" s="1" t="s">
        <v>262</v>
      </c>
    </row>
    <row r="440" spans="1:10" x14ac:dyDescent="0.3">
      <c r="A440" s="2">
        <v>2021</v>
      </c>
      <c r="B440" s="2" t="s">
        <v>255</v>
      </c>
      <c r="C440" s="2" t="s">
        <v>256</v>
      </c>
      <c r="D440" s="2" t="s">
        <v>192</v>
      </c>
      <c r="E440" s="2" t="s">
        <v>257</v>
      </c>
      <c r="F440" s="2" t="s">
        <v>258</v>
      </c>
      <c r="G440" s="159" t="s">
        <v>259</v>
      </c>
      <c r="H440" s="2" t="s">
        <v>200</v>
      </c>
      <c r="I440" s="2" t="s">
        <v>260</v>
      </c>
      <c r="J440" s="2" t="s">
        <v>261</v>
      </c>
    </row>
    <row r="441" spans="1:10" x14ac:dyDescent="0.3">
      <c r="A441" s="61" t="s">
        <v>77</v>
      </c>
      <c r="B441" s="137">
        <f>662/18034</f>
        <v>3.6708439614062324E-2</v>
      </c>
      <c r="C441" s="137">
        <f>323/18034</f>
        <v>1.7910613286015304E-2</v>
      </c>
      <c r="D441" s="137">
        <f>7890/18034</f>
        <v>0.43750693135189089</v>
      </c>
      <c r="E441" s="137">
        <f>6297/18034</f>
        <v>0.34917378285460798</v>
      </c>
      <c r="F441" s="137">
        <f>2861/18034</f>
        <v>0.15864478207829655</v>
      </c>
      <c r="G441" s="161">
        <f>1320/18034</f>
        <v>7.3195075967616721E-2</v>
      </c>
      <c r="H441" s="73">
        <f t="shared" ref="H441:H448" si="63">SUM(B441:F441)</f>
        <v>0.99994454918487308</v>
      </c>
      <c r="I441" s="162">
        <f>C441+E441</f>
        <v>0.36708439614062327</v>
      </c>
      <c r="J441" s="59">
        <v>92.8</v>
      </c>
    </row>
    <row r="442" spans="1:10" x14ac:dyDescent="0.3">
      <c r="A442" s="61" t="s">
        <v>4</v>
      </c>
      <c r="B442" s="137">
        <f>33/1264</f>
        <v>2.6107594936708861E-2</v>
      </c>
      <c r="C442" s="137">
        <f>14/1264</f>
        <v>1.1075949367088608E-2</v>
      </c>
      <c r="D442" s="137">
        <f>83/1264</f>
        <v>6.5664556962025319E-2</v>
      </c>
      <c r="E442" s="137">
        <f>1134/1264</f>
        <v>0.89715189873417722</v>
      </c>
      <c r="F442" s="137">
        <v>0</v>
      </c>
      <c r="G442" s="161">
        <v>0</v>
      </c>
      <c r="H442" s="73">
        <f t="shared" si="63"/>
        <v>1</v>
      </c>
      <c r="I442" s="162">
        <f t="shared" ref="I442:I448" si="64">C442+E442</f>
        <v>0.90822784810126578</v>
      </c>
      <c r="J442" s="59">
        <v>16.7</v>
      </c>
    </row>
    <row r="443" spans="1:10" x14ac:dyDescent="0.3">
      <c r="A443" s="61" t="s">
        <v>83</v>
      </c>
      <c r="B443" s="137">
        <f>91/8532</f>
        <v>1.0665729020159401E-2</v>
      </c>
      <c r="C443" s="137">
        <f>126/8532</f>
        <v>1.4767932489451477E-2</v>
      </c>
      <c r="D443" s="137">
        <f>6767/8532</f>
        <v>0.79313173933427095</v>
      </c>
      <c r="E443" s="137">
        <f>(315+153)/8532</f>
        <v>5.4852320675105488E-2</v>
      </c>
      <c r="F443" s="137">
        <f>1079/8532</f>
        <v>0.12646507266760432</v>
      </c>
      <c r="G443" s="161">
        <f>530/8532</f>
        <v>6.2119081106422877E-2</v>
      </c>
      <c r="H443" s="73">
        <f t="shared" si="63"/>
        <v>0.99988279418659165</v>
      </c>
      <c r="I443" s="162">
        <f t="shared" si="64"/>
        <v>6.9620253164556972E-2</v>
      </c>
      <c r="J443" s="59">
        <v>4.5999999999999996</v>
      </c>
    </row>
    <row r="444" spans="1:10" x14ac:dyDescent="0.3">
      <c r="A444" s="61" t="s">
        <v>81</v>
      </c>
      <c r="B444" s="137">
        <f>255/3637</f>
        <v>7.011273027220237E-2</v>
      </c>
      <c r="C444" s="137">
        <f>97/3637</f>
        <v>2.6670332691778938E-2</v>
      </c>
      <c r="D444" s="137">
        <f>2990/3637</f>
        <v>0.82210613142700029</v>
      </c>
      <c r="E444" s="137">
        <f>23/3637</f>
        <v>6.3238933186692331E-3</v>
      </c>
      <c r="F444" s="137">
        <f>273/3637</f>
        <v>7.5061864173769588E-2</v>
      </c>
      <c r="G444" s="161">
        <v>0</v>
      </c>
      <c r="H444" s="73">
        <f t="shared" si="63"/>
        <v>1.0002749518834204</v>
      </c>
      <c r="I444" s="162">
        <f t="shared" si="64"/>
        <v>3.2994226010448172E-2</v>
      </c>
      <c r="J444" s="59">
        <v>0.3</v>
      </c>
    </row>
    <row r="445" spans="1:10" x14ac:dyDescent="0.3">
      <c r="A445" s="61" t="s">
        <v>80</v>
      </c>
      <c r="B445" s="137">
        <f>5/172</f>
        <v>2.9069767441860465E-2</v>
      </c>
      <c r="C445" s="137">
        <f>1/172</f>
        <v>5.8139534883720929E-3</v>
      </c>
      <c r="D445" s="137">
        <f>148/172</f>
        <v>0.86046511627906974</v>
      </c>
      <c r="E445" s="137">
        <f>18/172</f>
        <v>0.10465116279069768</v>
      </c>
      <c r="F445" s="137">
        <v>0</v>
      </c>
      <c r="G445" s="161">
        <v>0</v>
      </c>
      <c r="H445" s="73">
        <f t="shared" si="63"/>
        <v>0.99999999999999989</v>
      </c>
      <c r="I445" s="162">
        <f t="shared" si="64"/>
        <v>0.11046511627906977</v>
      </c>
      <c r="J445" s="59">
        <v>0.3</v>
      </c>
    </row>
    <row r="446" spans="1:10" x14ac:dyDescent="0.3">
      <c r="A446" s="61" t="s">
        <v>82</v>
      </c>
      <c r="B446" s="137">
        <f>12/374</f>
        <v>3.2085561497326207E-2</v>
      </c>
      <c r="C446" s="137">
        <f>3/374</f>
        <v>8.0213903743315516E-3</v>
      </c>
      <c r="D446" s="137">
        <f>349/374</f>
        <v>0.9331550802139037</v>
      </c>
      <c r="E446" s="137">
        <f>10/374</f>
        <v>2.6737967914438502E-2</v>
      </c>
      <c r="F446" s="137">
        <v>0</v>
      </c>
      <c r="G446" s="161">
        <v>0</v>
      </c>
      <c r="H446" s="73">
        <f t="shared" si="63"/>
        <v>1</v>
      </c>
      <c r="I446" s="162">
        <f t="shared" si="64"/>
        <v>3.4759358288770054E-2</v>
      </c>
      <c r="J446" s="59">
        <v>0.2</v>
      </c>
    </row>
    <row r="447" spans="1:10" x14ac:dyDescent="0.3">
      <c r="A447" s="61" t="s">
        <v>187</v>
      </c>
      <c r="B447" s="137">
        <f>49/1581</f>
        <v>3.099304237824162E-2</v>
      </c>
      <c r="C447" s="137">
        <f>8/1581</f>
        <v>5.0600885515496522E-3</v>
      </c>
      <c r="D447" s="137">
        <f>1524/1581</f>
        <v>0.96394686907020877</v>
      </c>
      <c r="E447" s="137">
        <v>0</v>
      </c>
      <c r="F447" s="137">
        <v>0</v>
      </c>
      <c r="G447" s="161">
        <v>0</v>
      </c>
      <c r="H447" s="73">
        <f t="shared" si="63"/>
        <v>1</v>
      </c>
      <c r="I447" s="162">
        <f t="shared" si="64"/>
        <v>5.0600885515496522E-3</v>
      </c>
      <c r="J447" s="59">
        <v>0</v>
      </c>
    </row>
    <row r="448" spans="1:10" x14ac:dyDescent="0.3">
      <c r="A448" s="61" t="s">
        <v>186</v>
      </c>
      <c r="B448" s="137">
        <f>3/219</f>
        <v>1.3698630136986301E-2</v>
      </c>
      <c r="C448" s="137">
        <f>3/219</f>
        <v>1.3698630136986301E-2</v>
      </c>
      <c r="D448" s="137">
        <f>213/219</f>
        <v>0.9726027397260274</v>
      </c>
      <c r="E448" s="137">
        <v>0</v>
      </c>
      <c r="F448" s="137">
        <v>0</v>
      </c>
      <c r="G448" s="161">
        <v>0</v>
      </c>
      <c r="H448" s="73">
        <f t="shared" si="63"/>
        <v>1</v>
      </c>
      <c r="I448" s="162">
        <f t="shared" si="64"/>
        <v>1.3698630136986301E-2</v>
      </c>
      <c r="J448" s="59">
        <v>0</v>
      </c>
    </row>
    <row r="449" spans="1:11" x14ac:dyDescent="0.3">
      <c r="A449" s="61" t="s">
        <v>84</v>
      </c>
      <c r="B449" s="137">
        <v>0</v>
      </c>
      <c r="C449" s="137">
        <f>1/740</f>
        <v>1.3513513513513514E-3</v>
      </c>
      <c r="D449" s="137">
        <f>646/740</f>
        <v>0.87297297297297294</v>
      </c>
      <c r="E449" s="137">
        <f>93/740</f>
        <v>0.12567567567567567</v>
      </c>
      <c r="F449" s="137">
        <v>0</v>
      </c>
      <c r="G449" s="161">
        <v>0</v>
      </c>
      <c r="H449" s="73">
        <f t="shared" ref="H449" si="65">SUM(B449:F449)</f>
        <v>1</v>
      </c>
      <c r="I449" s="162">
        <f t="shared" ref="I449:I454" si="66">C449+E449</f>
        <v>0.12702702702702701</v>
      </c>
      <c r="J449" s="59">
        <v>1.4</v>
      </c>
    </row>
    <row r="450" spans="1:11" x14ac:dyDescent="0.3">
      <c r="A450" s="61" t="s">
        <v>66</v>
      </c>
      <c r="B450" s="137">
        <f>5/4024</f>
        <v>1.242544731610338E-3</v>
      </c>
      <c r="C450" s="137">
        <f>36/4024</f>
        <v>8.9463220675944331E-3</v>
      </c>
      <c r="D450" s="137">
        <f>100/4024</f>
        <v>2.4850894632206761E-2</v>
      </c>
      <c r="E450" s="137"/>
      <c r="F450" s="137"/>
      <c r="G450" s="137"/>
      <c r="H450" s="73">
        <f t="shared" ref="H450:H459" si="67">SUM(B450:F450)</f>
        <v>3.5039761431411534E-2</v>
      </c>
      <c r="I450" s="162">
        <f t="shared" si="66"/>
        <v>8.9463220675944331E-3</v>
      </c>
      <c r="J450" s="59"/>
    </row>
    <row r="451" spans="1:11" x14ac:dyDescent="0.3">
      <c r="A451" s="160" t="s">
        <v>67</v>
      </c>
      <c r="B451" s="137">
        <f>8/1453</f>
        <v>5.5058499655884375E-3</v>
      </c>
      <c r="C451" s="137">
        <f>26/1453</f>
        <v>1.7894012388162423E-2</v>
      </c>
      <c r="D451" s="137">
        <f>199/1453</f>
        <v>0.13695801789401238</v>
      </c>
      <c r="E451" s="137"/>
      <c r="F451" s="137"/>
      <c r="G451" s="137"/>
      <c r="H451" s="73">
        <f t="shared" si="67"/>
        <v>0.16035788024776323</v>
      </c>
      <c r="I451" s="162">
        <f t="shared" si="66"/>
        <v>1.7894012388162423E-2</v>
      </c>
      <c r="J451" s="59"/>
    </row>
    <row r="452" spans="1:11" x14ac:dyDescent="0.3">
      <c r="A452" s="160" t="s">
        <v>85</v>
      </c>
      <c r="B452" s="137">
        <f>12/876</f>
        <v>1.3698630136986301E-2</v>
      </c>
      <c r="C452" s="137">
        <f>13/876</f>
        <v>1.4840182648401826E-2</v>
      </c>
      <c r="D452" s="137">
        <f>276/876</f>
        <v>0.31506849315068491</v>
      </c>
      <c r="E452" s="137">
        <f>1-F452-D452-C452-B452</f>
        <v>0.45639269406392702</v>
      </c>
      <c r="F452" s="137">
        <v>0.2</v>
      </c>
      <c r="G452" s="137"/>
      <c r="H452" s="73">
        <f t="shared" si="67"/>
        <v>1</v>
      </c>
      <c r="I452" s="162">
        <f t="shared" si="66"/>
        <v>0.47123287671232883</v>
      </c>
      <c r="J452" s="59"/>
    </row>
    <row r="453" spans="1:11" x14ac:dyDescent="0.3">
      <c r="A453" s="160" t="s">
        <v>267</v>
      </c>
      <c r="B453" s="137">
        <f>1/87</f>
        <v>1.1494252873563218E-2</v>
      </c>
      <c r="C453" s="137">
        <v>0</v>
      </c>
      <c r="D453" s="137">
        <f>86/87</f>
        <v>0.9885057471264368</v>
      </c>
      <c r="E453" s="137"/>
      <c r="F453" s="137"/>
      <c r="G453" s="137"/>
      <c r="H453" s="73">
        <f t="shared" si="67"/>
        <v>1</v>
      </c>
      <c r="I453" s="162">
        <f t="shared" si="66"/>
        <v>0</v>
      </c>
      <c r="J453" s="59"/>
    </row>
    <row r="454" spans="1:11" x14ac:dyDescent="0.3">
      <c r="A454" s="160" t="s">
        <v>263</v>
      </c>
      <c r="B454" s="137">
        <f>4/262</f>
        <v>1.5267175572519083E-2</v>
      </c>
      <c r="C454" s="137">
        <v>0</v>
      </c>
      <c r="D454" s="137">
        <v>0</v>
      </c>
      <c r="E454" s="137"/>
      <c r="F454" s="137"/>
      <c r="G454" s="137"/>
      <c r="H454" s="73">
        <f t="shared" si="67"/>
        <v>1.5267175572519083E-2</v>
      </c>
      <c r="I454" s="162">
        <f t="shared" si="66"/>
        <v>0</v>
      </c>
      <c r="J454" s="59"/>
    </row>
    <row r="455" spans="1:11" x14ac:dyDescent="0.3">
      <c r="A455" s="160" t="s">
        <v>264</v>
      </c>
      <c r="B455" s="137">
        <f>29/533</f>
        <v>5.4409005628517824E-2</v>
      </c>
      <c r="C455" s="137">
        <f>15/533</f>
        <v>2.8142589118198873E-2</v>
      </c>
      <c r="D455" s="137">
        <f>464/533</f>
        <v>0.87054409005628519</v>
      </c>
      <c r="E455" s="137">
        <f>25/533</f>
        <v>4.6904315196998121E-2</v>
      </c>
      <c r="F455" s="137">
        <f t="shared" ref="F455:F460" si="68">1-E455-D455-C455-B455</f>
        <v>0</v>
      </c>
      <c r="G455" s="137">
        <v>0</v>
      </c>
      <c r="H455" s="73">
        <f t="shared" si="67"/>
        <v>1</v>
      </c>
      <c r="I455" s="162">
        <f t="shared" ref="I455:I459" si="69">C455+E455</f>
        <v>7.5046904315196991E-2</v>
      </c>
      <c r="J455" s="59">
        <v>0.4</v>
      </c>
      <c r="K455" t="s">
        <v>272</v>
      </c>
    </row>
    <row r="456" spans="1:11" x14ac:dyDescent="0.3">
      <c r="A456" s="160" t="s">
        <v>265</v>
      </c>
      <c r="B456" s="137">
        <f>12/172</f>
        <v>6.9767441860465115E-2</v>
      </c>
      <c r="C456" s="137">
        <v>0</v>
      </c>
      <c r="D456" s="137">
        <f>150/172</f>
        <v>0.87209302325581395</v>
      </c>
      <c r="E456" s="137">
        <f>10/172</f>
        <v>5.8139534883720929E-2</v>
      </c>
      <c r="F456" s="137">
        <f t="shared" si="68"/>
        <v>0</v>
      </c>
      <c r="G456" s="137">
        <v>0</v>
      </c>
      <c r="H456" s="73">
        <f t="shared" si="67"/>
        <v>1</v>
      </c>
      <c r="I456" s="162">
        <f t="shared" si="69"/>
        <v>5.8139534883720929E-2</v>
      </c>
      <c r="J456" s="59">
        <v>0.1</v>
      </c>
      <c r="K456" t="s">
        <v>272</v>
      </c>
    </row>
    <row r="457" spans="1:11" x14ac:dyDescent="0.3">
      <c r="A457" s="160" t="s">
        <v>266</v>
      </c>
      <c r="B457" s="137">
        <f>1/16</f>
        <v>6.25E-2</v>
      </c>
      <c r="C457" s="137">
        <v>0</v>
      </c>
      <c r="D457" s="137">
        <f>14/16</f>
        <v>0.875</v>
      </c>
      <c r="E457" s="137">
        <f>1/16</f>
        <v>6.25E-2</v>
      </c>
      <c r="F457" s="137">
        <f t="shared" si="68"/>
        <v>0</v>
      </c>
      <c r="G457" s="137">
        <v>0</v>
      </c>
      <c r="H457" s="73">
        <f t="shared" si="67"/>
        <v>1</v>
      </c>
      <c r="I457" s="162">
        <f t="shared" si="69"/>
        <v>6.25E-2</v>
      </c>
      <c r="J457" s="59">
        <v>0</v>
      </c>
      <c r="K457" t="s">
        <v>272</v>
      </c>
    </row>
    <row r="458" spans="1:11" x14ac:dyDescent="0.3">
      <c r="A458" s="160" t="s">
        <v>268</v>
      </c>
      <c r="B458" s="137">
        <f>1/56</f>
        <v>1.7857142857142856E-2</v>
      </c>
      <c r="C458" s="137">
        <v>0</v>
      </c>
      <c r="D458" s="137">
        <v>0</v>
      </c>
      <c r="E458" s="137">
        <f>55/56</f>
        <v>0.9821428571428571</v>
      </c>
      <c r="F458" s="137">
        <f t="shared" si="68"/>
        <v>4.8572257327350599E-17</v>
      </c>
      <c r="G458" s="137">
        <v>0</v>
      </c>
      <c r="H458" s="73">
        <f t="shared" si="67"/>
        <v>1</v>
      </c>
      <c r="I458" s="162">
        <f t="shared" si="69"/>
        <v>0.9821428571428571</v>
      </c>
      <c r="J458" s="59">
        <v>0.8</v>
      </c>
      <c r="K458" t="s">
        <v>272</v>
      </c>
    </row>
    <row r="459" spans="1:11" x14ac:dyDescent="0.3">
      <c r="A459" s="160" t="s">
        <v>269</v>
      </c>
      <c r="B459" s="137">
        <f>5/54</f>
        <v>9.2592592592592587E-2</v>
      </c>
      <c r="C459" s="137">
        <v>0</v>
      </c>
      <c r="D459" s="137">
        <v>0</v>
      </c>
      <c r="E459" s="137">
        <f>49/54</f>
        <v>0.90740740740740744</v>
      </c>
      <c r="F459" s="137">
        <f t="shared" si="68"/>
        <v>0</v>
      </c>
      <c r="G459" s="137">
        <v>0</v>
      </c>
      <c r="H459" s="73">
        <f t="shared" si="67"/>
        <v>1</v>
      </c>
      <c r="I459" s="162">
        <f t="shared" si="69"/>
        <v>0.90740740740740744</v>
      </c>
      <c r="J459" s="59">
        <v>0.7</v>
      </c>
      <c r="K459" t="s">
        <v>272</v>
      </c>
    </row>
    <row r="460" spans="1:11" ht="28.8" x14ac:dyDescent="0.3">
      <c r="A460" s="153" t="s">
        <v>270</v>
      </c>
      <c r="B460" s="137">
        <f>56/840</f>
        <v>6.6666666666666666E-2</v>
      </c>
      <c r="C460" s="137">
        <f>15/840</f>
        <v>1.7857142857142856E-2</v>
      </c>
      <c r="D460" s="137">
        <f>628/840</f>
        <v>0.74761904761904763</v>
      </c>
      <c r="E460" s="137">
        <f>141/840</f>
        <v>0.16785714285714284</v>
      </c>
      <c r="F460" s="137">
        <f t="shared" si="68"/>
        <v>0</v>
      </c>
      <c r="G460" s="137">
        <v>0</v>
      </c>
      <c r="H460" s="73">
        <f t="shared" ref="H460" si="70">SUM(B460:F460)</f>
        <v>1</v>
      </c>
      <c r="I460" s="162">
        <f t="shared" ref="I460" si="71">C460+E460</f>
        <v>0.18571428571428569</v>
      </c>
      <c r="J460" s="59">
        <v>2.1</v>
      </c>
      <c r="K460" t="s">
        <v>272</v>
      </c>
    </row>
  </sheetData>
  <sheetProtection password="D6AD" sheet="1" objects="1" scenarios="1" selectLockedCells="1" selectUnlockedCells="1"/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26"/>
  <sheetViews>
    <sheetView zoomScale="80" zoomScaleNormal="80" workbookViewId="0">
      <pane xSplit="2" ySplit="1" topLeftCell="C38" activePane="bottomRight" state="frozen"/>
      <selection activeCell="A14" sqref="A14:B15"/>
      <selection pane="topRight" activeCell="A14" sqref="A14:B15"/>
      <selection pane="bottomLeft" activeCell="A14" sqref="A14:B15"/>
      <selection pane="bottomRight" activeCell="A14" sqref="A14:B15"/>
    </sheetView>
  </sheetViews>
  <sheetFormatPr baseColWidth="10" defaultRowHeight="14.4" x14ac:dyDescent="0.3"/>
  <cols>
    <col min="2" max="2" width="26" bestFit="1" customWidth="1"/>
    <col min="3" max="15" width="11" bestFit="1" customWidth="1"/>
    <col min="16" max="16" width="16.109375" customWidth="1"/>
    <col min="17" max="17" width="9.88671875" bestFit="1" customWidth="1"/>
    <col min="18" max="29" width="8.21875" bestFit="1" customWidth="1"/>
    <col min="30" max="30" width="11.5546875" style="1"/>
    <col min="31" max="31" width="16.6640625" style="1" bestFit="1" customWidth="1"/>
    <col min="32" max="32" width="19.77734375" style="1" bestFit="1" customWidth="1"/>
    <col min="33" max="45" width="11.5546875" style="1"/>
  </cols>
  <sheetData>
    <row r="1" spans="1:45" x14ac:dyDescent="0.3">
      <c r="A1" t="s">
        <v>76</v>
      </c>
      <c r="C1" s="61">
        <v>2010</v>
      </c>
      <c r="D1" s="61">
        <v>2011</v>
      </c>
      <c r="E1" s="61">
        <v>2012</v>
      </c>
      <c r="F1" s="61">
        <v>2013</v>
      </c>
      <c r="G1" s="61">
        <v>2014</v>
      </c>
      <c r="H1" s="61">
        <v>2015</v>
      </c>
      <c r="I1" s="61">
        <v>2016</v>
      </c>
      <c r="J1" s="61">
        <v>2017</v>
      </c>
      <c r="K1" s="61">
        <v>2018</v>
      </c>
      <c r="L1" s="61">
        <v>2019</v>
      </c>
      <c r="M1" s="61">
        <v>2020</v>
      </c>
      <c r="N1" s="61">
        <v>2021</v>
      </c>
      <c r="O1" s="61">
        <v>2022</v>
      </c>
      <c r="P1" s="61">
        <v>2023</v>
      </c>
      <c r="Q1" s="61">
        <v>2024</v>
      </c>
      <c r="AG1" s="1">
        <v>2010</v>
      </c>
      <c r="AH1" s="1">
        <v>2011</v>
      </c>
      <c r="AI1" s="1">
        <v>2012</v>
      </c>
      <c r="AJ1" s="1">
        <v>2013</v>
      </c>
      <c r="AK1" s="1">
        <v>2014</v>
      </c>
      <c r="AL1" s="1">
        <v>2015</v>
      </c>
      <c r="AM1" s="1">
        <v>2016</v>
      </c>
      <c r="AN1" s="1">
        <v>2017</v>
      </c>
      <c r="AO1" s="1">
        <v>2018</v>
      </c>
      <c r="AP1" s="1">
        <v>2019</v>
      </c>
      <c r="AQ1" s="1">
        <v>2020</v>
      </c>
      <c r="AR1" s="1">
        <v>2021</v>
      </c>
      <c r="AS1" s="1">
        <v>2022</v>
      </c>
    </row>
    <row r="2" spans="1:45" x14ac:dyDescent="0.3">
      <c r="B2" s="61" t="s">
        <v>30</v>
      </c>
      <c r="C2" s="257">
        <f>'Calcul Fr métro'!C105</f>
        <v>62765235</v>
      </c>
      <c r="D2" s="257">
        <f>'Calcul Fr métro'!D105</f>
        <v>63070344</v>
      </c>
      <c r="E2" s="257">
        <f>'Calcul Fr métro'!E105</f>
        <v>63375971</v>
      </c>
      <c r="F2" s="257">
        <f>'Calcul Fr métro'!F105</f>
        <v>63697865</v>
      </c>
      <c r="G2" s="257">
        <f>'Calcul Fr métro'!G105</f>
        <v>64027958</v>
      </c>
      <c r="H2" s="257">
        <f>'Calcul Fr métro'!H105</f>
        <v>64300821</v>
      </c>
      <c r="I2" s="257">
        <f>'Calcul Fr métro'!I105</f>
        <v>64468792</v>
      </c>
      <c r="J2" s="257">
        <f>'Calcul Fr métro'!J105</f>
        <v>64639133</v>
      </c>
      <c r="K2" s="257">
        <f>'Calcul Fr métro'!K105</f>
        <v>64844037</v>
      </c>
      <c r="L2" s="257">
        <f>'Calcul Fr métro'!L105</f>
        <v>65096768</v>
      </c>
      <c r="M2" s="257">
        <f>'Calcul Fr métro'!M105</f>
        <v>65269154</v>
      </c>
      <c r="N2" s="257">
        <f>'Calcul Fr métro'!N105</f>
        <v>65505213</v>
      </c>
      <c r="O2" s="257">
        <f>'Calcul Fr métro'!O105</f>
        <v>65721831</v>
      </c>
      <c r="P2" s="257">
        <f>'Calcul Fr métro'!P105</f>
        <v>65925961</v>
      </c>
      <c r="Q2" s="257">
        <f>'Calcul Fr métro'!Q105</f>
        <v>66142961</v>
      </c>
      <c r="R2" s="7"/>
      <c r="AE2" s="1" t="s">
        <v>30</v>
      </c>
      <c r="AG2" s="3">
        <v>64613000</v>
      </c>
      <c r="AH2" s="3">
        <v>64933000</v>
      </c>
      <c r="AI2" s="3">
        <v>65241000</v>
      </c>
      <c r="AJ2" s="3">
        <v>65565000</v>
      </c>
      <c r="AK2" s="3">
        <v>66131000</v>
      </c>
      <c r="AL2" s="3">
        <v>66422000</v>
      </c>
      <c r="AM2" s="3">
        <v>66603000</v>
      </c>
      <c r="AN2" s="3">
        <v>66774000</v>
      </c>
      <c r="AO2" s="3">
        <v>66992000</v>
      </c>
      <c r="AP2" s="3">
        <v>67258000</v>
      </c>
      <c r="AQ2" s="3">
        <v>67442000</v>
      </c>
      <c r="AR2" s="3">
        <v>67635000</v>
      </c>
      <c r="AS2" s="3">
        <v>67843000</v>
      </c>
    </row>
    <row r="3" spans="1:45" s="7" customFormat="1" x14ac:dyDescent="0.3">
      <c r="A3" s="258" t="s">
        <v>1</v>
      </c>
      <c r="B3" s="259" t="s">
        <v>27</v>
      </c>
      <c r="C3" s="259">
        <v>35484091</v>
      </c>
      <c r="D3" s="259">
        <v>33999867</v>
      </c>
      <c r="E3" s="259">
        <v>35508872</v>
      </c>
      <c r="F3" s="259">
        <v>36861747</v>
      </c>
      <c r="G3" s="259">
        <v>37498590</v>
      </c>
      <c r="H3" s="259">
        <v>40997888</v>
      </c>
      <c r="I3" s="259">
        <v>27624055</v>
      </c>
      <c r="J3" s="259">
        <v>36563844</v>
      </c>
      <c r="K3" s="259">
        <v>34048770</v>
      </c>
      <c r="L3" s="259">
        <v>39517771</v>
      </c>
      <c r="M3" s="259">
        <v>29210448</v>
      </c>
      <c r="N3" s="259">
        <v>35396480</v>
      </c>
      <c r="O3" s="260">
        <v>33684056</v>
      </c>
      <c r="AD3" s="3" t="s">
        <v>1</v>
      </c>
      <c r="AE3" s="3" t="s">
        <v>27</v>
      </c>
      <c r="AF3" s="3" t="s">
        <v>31</v>
      </c>
      <c r="AG3" s="3">
        <v>35379363</v>
      </c>
      <c r="AH3" s="3">
        <v>33918196</v>
      </c>
      <c r="AI3" s="3">
        <v>35244290</v>
      </c>
      <c r="AJ3" s="3">
        <v>36692863</v>
      </c>
      <c r="AK3" s="3">
        <v>37327643</v>
      </c>
      <c r="AL3" s="3">
        <v>40888208</v>
      </c>
      <c r="AM3" s="3">
        <v>27553920</v>
      </c>
      <c r="AN3" s="3"/>
      <c r="AO3" s="3"/>
      <c r="AP3" s="3"/>
      <c r="AQ3" s="3"/>
      <c r="AR3" s="3"/>
      <c r="AS3" s="3"/>
    </row>
    <row r="4" spans="1:45" s="7" customFormat="1" x14ac:dyDescent="0.3">
      <c r="A4" s="261"/>
      <c r="B4" s="262" t="s">
        <v>228</v>
      </c>
      <c r="C4" s="274">
        <f>C3*'Calcul R84'!$F$36</f>
        <v>13025656.117333924</v>
      </c>
      <c r="D4" s="274">
        <f>D3*'Calcul R84'!$F$36</f>
        <v>12480820.646556504</v>
      </c>
      <c r="E4" s="274">
        <f>E3*'Calcul R84'!$F$36</f>
        <v>13034752.835754685</v>
      </c>
      <c r="F4" s="274">
        <f>F3*'Calcul R84'!$F$36</f>
        <v>13531372.138183432</v>
      </c>
      <c r="G4" s="274">
        <f>G3*'Calcul R84'!$F$36</f>
        <v>13765147.266274814</v>
      </c>
      <c r="H4" s="274">
        <f>H3*'Calcul R84'!$F$36</f>
        <v>15049684.959520904</v>
      </c>
      <c r="I4" s="274">
        <f>I3*'Calcul R84'!$F$36</f>
        <v>10140359.548630364</v>
      </c>
      <c r="J4" s="274">
        <f>J3*'Calcul R84'!$F$36</f>
        <v>13422016.595319951</v>
      </c>
      <c r="K4" s="274">
        <f>K3*'Calcul R84'!$F$36</f>
        <v>12498772.174780969</v>
      </c>
      <c r="L4" s="274">
        <f>L3*'Calcul R84'!$F$36</f>
        <v>14506357.104358435</v>
      </c>
      <c r="M4" s="274">
        <f>M3*'Calcul R84'!$F$36</f>
        <v>10722699.665077077</v>
      </c>
      <c r="N4" s="274">
        <f>N3*'Calcul R84'!$F$36</f>
        <v>12993495.486303648</v>
      </c>
      <c r="O4" s="274">
        <f>O3*'Calcul R84'!$F$36</f>
        <v>12364891.356326938</v>
      </c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</row>
    <row r="5" spans="1:45" s="7" customFormat="1" x14ac:dyDescent="0.3">
      <c r="A5" s="261" t="s">
        <v>31</v>
      </c>
      <c r="B5" s="262" t="s">
        <v>25</v>
      </c>
      <c r="C5" s="262">
        <v>543233</v>
      </c>
      <c r="D5" s="262">
        <v>399412</v>
      </c>
      <c r="E5" s="262">
        <v>229508</v>
      </c>
      <c r="F5" s="262">
        <v>228838</v>
      </c>
      <c r="G5" s="262">
        <v>395443</v>
      </c>
      <c r="H5" s="262">
        <v>511355</v>
      </c>
      <c r="I5" s="262">
        <v>800313</v>
      </c>
      <c r="J5" s="262">
        <v>520325</v>
      </c>
      <c r="K5" s="262">
        <v>307704</v>
      </c>
      <c r="L5" s="262">
        <v>258875</v>
      </c>
      <c r="M5" s="262">
        <v>217052</v>
      </c>
      <c r="N5" s="262">
        <v>229721</v>
      </c>
      <c r="O5" s="263">
        <v>159758</v>
      </c>
      <c r="AD5" s="3"/>
      <c r="AE5" s="3" t="s">
        <v>189</v>
      </c>
      <c r="AF5" s="3" t="s">
        <v>190</v>
      </c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</row>
    <row r="6" spans="1:45" s="7" customFormat="1" x14ac:dyDescent="0.3">
      <c r="A6" s="261"/>
      <c r="B6" s="262" t="s">
        <v>26</v>
      </c>
      <c r="C6" s="262">
        <v>19631838</v>
      </c>
      <c r="D6" s="262">
        <v>18304369</v>
      </c>
      <c r="E6" s="262">
        <v>14994464</v>
      </c>
      <c r="F6" s="262">
        <v>18006346</v>
      </c>
      <c r="G6" s="262">
        <v>18961351</v>
      </c>
      <c r="H6" s="262">
        <v>18720881</v>
      </c>
      <c r="I6" s="262">
        <v>17323720</v>
      </c>
      <c r="J6" s="262">
        <v>13942862</v>
      </c>
      <c r="K6" s="262">
        <v>17461601</v>
      </c>
      <c r="L6" s="262">
        <v>18286119</v>
      </c>
      <c r="M6" s="262">
        <v>18665074</v>
      </c>
      <c r="N6" s="262">
        <v>15244193</v>
      </c>
      <c r="O6" s="263">
        <v>18992228</v>
      </c>
      <c r="AD6" s="3"/>
      <c r="AE6" s="3" t="s">
        <v>189</v>
      </c>
      <c r="AF6" s="3" t="s">
        <v>191</v>
      </c>
      <c r="AG6" s="131">
        <f>AG5*AG2/1000</f>
        <v>0</v>
      </c>
      <c r="AH6" s="131">
        <f t="shared" ref="AH6:AS6" si="0">AH5*AH2/1000</f>
        <v>0</v>
      </c>
      <c r="AI6" s="131">
        <f t="shared" si="0"/>
        <v>0</v>
      </c>
      <c r="AJ6" s="131">
        <f t="shared" si="0"/>
        <v>0</v>
      </c>
      <c r="AK6" s="131">
        <f t="shared" si="0"/>
        <v>0</v>
      </c>
      <c r="AL6" s="131">
        <f t="shared" si="0"/>
        <v>0</v>
      </c>
      <c r="AM6" s="131">
        <f t="shared" si="0"/>
        <v>0</v>
      </c>
      <c r="AN6" s="131">
        <f t="shared" si="0"/>
        <v>0</v>
      </c>
      <c r="AO6" s="131">
        <f t="shared" si="0"/>
        <v>0</v>
      </c>
      <c r="AP6" s="131">
        <f t="shared" si="0"/>
        <v>0</v>
      </c>
      <c r="AQ6" s="131">
        <f t="shared" si="0"/>
        <v>0</v>
      </c>
      <c r="AR6" s="131">
        <f t="shared" si="0"/>
        <v>0</v>
      </c>
      <c r="AS6" s="131">
        <f t="shared" si="0"/>
        <v>0</v>
      </c>
    </row>
    <row r="7" spans="1:45" x14ac:dyDescent="0.3">
      <c r="A7" s="264"/>
      <c r="B7" s="282" t="s">
        <v>47</v>
      </c>
      <c r="C7" s="277">
        <f>(C3+C5-C6)*1000*'Calcul R84'!$F$36/$C$2</f>
        <v>95.88950121419991</v>
      </c>
      <c r="D7" s="277">
        <f>(D3+D5-D6)*1000*'Calcul R84'!$F$36/$C$2</f>
        <v>94.131573287149791</v>
      </c>
      <c r="E7" s="277">
        <f>(E3+E5-E6)*1000*'Calcul R84'!$F$36/$C$2</f>
        <v>121.3214270360306</v>
      </c>
      <c r="F7" s="277">
        <f>(F3+F5-F6)*1000*'Calcul R84'!$F$36/$C$2</f>
        <v>111.61475535172188</v>
      </c>
      <c r="G7" s="277">
        <f>(G3+G5-G6)*1000*'Calcul R84'!$F$36/$C$2</f>
        <v>110.7283696028932</v>
      </c>
      <c r="H7" s="277">
        <f>(H3+H5-H6)*1000*'Calcul R84'!$F$36/$C$2</f>
        <v>133.27843198235337</v>
      </c>
      <c r="I7" s="277">
        <f>(I3+I5-I6)*1000*'Calcul R84'!$F$36/$C$2</f>
        <v>64.922479264988297</v>
      </c>
      <c r="J7" s="277">
        <f>(J3+J5-J6)*1000*'Calcul R84'!$F$36/$C$2</f>
        <v>135.34264160724928</v>
      </c>
      <c r="K7" s="277">
        <f>(K3+K5-K6)*1000*'Calcul R84'!$F$36/$C$2</f>
        <v>98.810181354017402</v>
      </c>
      <c r="L7" s="277">
        <f>(L3+L5-L6)*1000*'Calcul R84'!$F$36/$C$2</f>
        <v>125.68800429949414</v>
      </c>
      <c r="M7" s="277">
        <f>(M3+M5-M6)*1000*'Calcul R84'!$F$36/$C$2</f>
        <v>62.944377555794119</v>
      </c>
      <c r="N7" s="277">
        <f>(N3+N5-N6)*1000*'Calcul R84'!$F$36/$C$2</f>
        <v>119.20479703156298</v>
      </c>
      <c r="O7" s="277">
        <f>(O3+O5-O6)*1000*'Calcul R84'!$F$36/$C$2</f>
        <v>86.859954854634651</v>
      </c>
      <c r="AE7" s="1" t="s">
        <v>192</v>
      </c>
      <c r="AF7" s="1" t="s">
        <v>195</v>
      </c>
    </row>
    <row r="8" spans="1:45" s="7" customFormat="1" x14ac:dyDescent="0.3">
      <c r="A8" s="258" t="s">
        <v>4</v>
      </c>
      <c r="B8" s="259" t="s">
        <v>27</v>
      </c>
      <c r="C8" s="259">
        <v>2539193</v>
      </c>
      <c r="D8" s="259">
        <v>2015496</v>
      </c>
      <c r="E8" s="259">
        <v>2380643</v>
      </c>
      <c r="F8" s="259">
        <v>1754996</v>
      </c>
      <c r="G8" s="259">
        <v>1472971</v>
      </c>
      <c r="H8" s="259">
        <v>1789103</v>
      </c>
      <c r="I8" s="259">
        <v>1660841</v>
      </c>
      <c r="J8" s="259">
        <v>2088704</v>
      </c>
      <c r="K8" s="259">
        <v>1784583</v>
      </c>
      <c r="L8" s="259">
        <v>1565166</v>
      </c>
      <c r="M8" s="259">
        <v>1325765</v>
      </c>
      <c r="N8" s="259">
        <v>1593082</v>
      </c>
      <c r="O8" s="260">
        <v>1339807</v>
      </c>
      <c r="AD8" s="3"/>
      <c r="AE8" s="1" t="s">
        <v>192</v>
      </c>
      <c r="AF8" s="1" t="s">
        <v>31</v>
      </c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</row>
    <row r="9" spans="1:45" s="7" customFormat="1" x14ac:dyDescent="0.3">
      <c r="A9" s="261"/>
      <c r="B9" s="262" t="s">
        <v>228</v>
      </c>
      <c r="C9" s="274">
        <f>C8*'Calcul R84'!$F$37</f>
        <v>2306165.7943037972</v>
      </c>
      <c r="D9" s="274">
        <f>D8*'Calcul R84'!$F$37</f>
        <v>1830529.5949367087</v>
      </c>
      <c r="E9" s="274">
        <f>E8*'Calcul R84'!$F$37</f>
        <v>2162166.2689873418</v>
      </c>
      <c r="F9" s="274">
        <f>F8*'Calcul R84'!$F$37</f>
        <v>1593936.2405063291</v>
      </c>
      <c r="G9" s="274">
        <f>G8*'Calcul R84'!$F$37</f>
        <v>1337793.2816455695</v>
      </c>
      <c r="H9" s="274">
        <f>H8*'Calcul R84'!$F$37</f>
        <v>1624913.167721519</v>
      </c>
      <c r="I9" s="274">
        <f>I8*'Calcul R84'!$F$37</f>
        <v>1508422.0474683545</v>
      </c>
      <c r="J9" s="274">
        <f>J8*'Calcul R84'!$F$37</f>
        <v>1897019.1392405063</v>
      </c>
      <c r="K9" s="274">
        <f>K8*'Calcul R84'!$F$37</f>
        <v>1620807.9778481012</v>
      </c>
      <c r="L9" s="274">
        <f>L8*'Calcul R84'!$F$37</f>
        <v>1421527.3481012657</v>
      </c>
      <c r="M9" s="274">
        <f>M8*'Calcul R84'!$F$37</f>
        <v>1204096.6930379746</v>
      </c>
      <c r="N9" s="274">
        <f>N8*'Calcul R84'!$F$37</f>
        <v>1446881.4367088608</v>
      </c>
      <c r="O9" s="274">
        <f>O8*'Calcul R84'!$F$37</f>
        <v>1216850.0284810127</v>
      </c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</row>
    <row r="10" spans="1:45" s="7" customFormat="1" x14ac:dyDescent="0.3">
      <c r="A10" s="261" t="s">
        <v>31</v>
      </c>
      <c r="B10" s="262" t="s">
        <v>25</v>
      </c>
      <c r="C10" s="262">
        <v>112359</v>
      </c>
      <c r="D10" s="262">
        <v>108824</v>
      </c>
      <c r="E10" s="262">
        <v>50756</v>
      </c>
      <c r="F10" s="262">
        <v>75462</v>
      </c>
      <c r="G10" s="262">
        <v>101332</v>
      </c>
      <c r="H10" s="262">
        <v>135554</v>
      </c>
      <c r="I10" s="262">
        <v>151586</v>
      </c>
      <c r="J10" s="262">
        <v>148481</v>
      </c>
      <c r="K10" s="262">
        <v>68742</v>
      </c>
      <c r="L10" s="262">
        <v>42102</v>
      </c>
      <c r="M10" s="262">
        <v>41505</v>
      </c>
      <c r="N10" s="262">
        <v>33159</v>
      </c>
      <c r="O10" s="263">
        <v>35519</v>
      </c>
      <c r="AD10" s="3"/>
      <c r="AE10" s="3" t="s">
        <v>193</v>
      </c>
      <c r="AF10" s="3" t="s">
        <v>195</v>
      </c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</row>
    <row r="11" spans="1:45" s="7" customFormat="1" x14ac:dyDescent="0.3">
      <c r="A11" s="261"/>
      <c r="B11" s="262" t="s">
        <v>26</v>
      </c>
      <c r="C11" s="262">
        <v>1451352</v>
      </c>
      <c r="D11" s="262">
        <v>2060377</v>
      </c>
      <c r="E11" s="262">
        <v>1474366</v>
      </c>
      <c r="F11" s="262">
        <v>1368365</v>
      </c>
      <c r="G11" s="262">
        <v>1510611</v>
      </c>
      <c r="H11" s="262">
        <v>1156285</v>
      </c>
      <c r="I11" s="262">
        <v>1054154</v>
      </c>
      <c r="J11" s="262">
        <v>1285803</v>
      </c>
      <c r="K11" s="262">
        <v>1478744</v>
      </c>
      <c r="L11" s="262">
        <v>1671102</v>
      </c>
      <c r="M11" s="262">
        <v>1128399</v>
      </c>
      <c r="N11" s="262">
        <v>844427</v>
      </c>
      <c r="O11" s="263">
        <v>1201246</v>
      </c>
      <c r="AD11" s="3"/>
      <c r="AE11" s="3" t="s">
        <v>193</v>
      </c>
      <c r="AF11" s="3" t="s">
        <v>31</v>
      </c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</row>
    <row r="12" spans="1:45" x14ac:dyDescent="0.3">
      <c r="A12" s="264"/>
      <c r="B12" s="282" t="s">
        <v>47</v>
      </c>
      <c r="C12" s="277">
        <f>(C8+C10-C11)*1000*'Calcul R84'!$F$37/$C$2</f>
        <v>17.367178873641421</v>
      </c>
      <c r="D12" s="277">
        <f>(D8+D10-D11)*1000*'Calcul R84'!$F$37/$C$2</f>
        <v>0.92527038719984456</v>
      </c>
      <c r="E12" s="277">
        <f>(E8+E10-E11)*1000*'Calcul R84'!$F$37/$C$2</f>
        <v>13.84849466670361</v>
      </c>
      <c r="F12" s="277">
        <f>(F8+F10-F11)*1000*'Calcul R84'!$F$37/$C$2</f>
        <v>6.6865953901496296</v>
      </c>
      <c r="G12" s="277">
        <f>(G8+G10-G11)*1000*'Calcul R84'!$F$37/$C$2</f>
        <v>0.92163835762370394</v>
      </c>
      <c r="H12" s="277">
        <f>(H8+H10-H11)*1000*'Calcul R84'!$F$37/$C$2</f>
        <v>11.118525217045166</v>
      </c>
      <c r="I12" s="277">
        <f>(I8+I10-I11)*1000*'Calcul R84'!$F$37/$C$2</f>
        <v>10.972390289995586</v>
      </c>
      <c r="J12" s="277">
        <f>(J8+J10-J11)*1000*'Calcul R84'!$F$37/$C$2</f>
        <v>13.766723355409702</v>
      </c>
      <c r="K12" s="277">
        <f>(K8+K10-K11)*1000*'Calcul R84'!$F$37/$C$2</f>
        <v>5.4202759787264441</v>
      </c>
      <c r="L12" s="277">
        <f>(L8+L10-L11)*1000*'Calcul R84'!$F$37/$C$2</f>
        <v>-0.92369313132813413</v>
      </c>
      <c r="M12" s="277">
        <f>(M8+M10-M11)*1000*'Calcul R84'!$F$37/$C$2</f>
        <v>3.4565200672601235</v>
      </c>
      <c r="N12" s="277">
        <f>(N8+N10-N11)*1000*'Calcul R84'!$F$37/$C$2</f>
        <v>11.313034147572983</v>
      </c>
      <c r="O12" s="277">
        <f>(O8+O10-O11)*1000*'Calcul R84'!$F$37/$C$2</f>
        <v>2.5189789187831182</v>
      </c>
      <c r="AE12" s="6" t="s">
        <v>194</v>
      </c>
      <c r="AF12" s="6" t="s">
        <v>195</v>
      </c>
      <c r="AG12" s="132"/>
      <c r="AH12" s="132"/>
      <c r="AI12" s="132"/>
      <c r="AJ12" s="132"/>
      <c r="AK12" s="132"/>
      <c r="AL12" s="132"/>
      <c r="AM12" s="132"/>
      <c r="AN12" s="132"/>
      <c r="AO12" s="132"/>
      <c r="AP12" s="132"/>
      <c r="AQ12" s="132"/>
      <c r="AR12" s="132"/>
      <c r="AS12" s="132"/>
    </row>
    <row r="13" spans="1:45" s="7" customFormat="1" x14ac:dyDescent="0.3">
      <c r="A13" s="258" t="s">
        <v>84</v>
      </c>
      <c r="B13" s="259" t="s">
        <v>27</v>
      </c>
      <c r="C13" s="259">
        <v>27359083</v>
      </c>
      <c r="D13" s="259">
        <v>27997103</v>
      </c>
      <c r="E13" s="259">
        <v>30473982</v>
      </c>
      <c r="F13" s="259">
        <v>28781671</v>
      </c>
      <c r="G13" s="259">
        <v>33802669</v>
      </c>
      <c r="H13" s="259">
        <v>30238915</v>
      </c>
      <c r="I13" s="259">
        <v>24875206</v>
      </c>
      <c r="J13" s="259">
        <v>29834527</v>
      </c>
      <c r="K13" s="259">
        <v>26752626</v>
      </c>
      <c r="L13" s="259">
        <v>30069441</v>
      </c>
      <c r="M13" s="259">
        <v>27221432</v>
      </c>
      <c r="N13" s="259">
        <v>30642817</v>
      </c>
      <c r="O13" s="260">
        <v>25304124</v>
      </c>
      <c r="AD13" s="3"/>
      <c r="AE13" s="3" t="s">
        <v>194</v>
      </c>
      <c r="AF13" s="3" t="s">
        <v>31</v>
      </c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</row>
    <row r="14" spans="1:45" s="7" customFormat="1" x14ac:dyDescent="0.3">
      <c r="A14" s="261"/>
      <c r="B14" s="262" t="s">
        <v>228</v>
      </c>
      <c r="C14" s="274">
        <f>C13*'Calcul R84'!$Q$38</f>
        <v>1333330.4458110465</v>
      </c>
      <c r="D14" s="274">
        <f>D13*'Calcul R84'!$Q$38</f>
        <v>1364424.0132027739</v>
      </c>
      <c r="E14" s="274">
        <f>E13*'Calcul R84'!$Q$38</f>
        <v>1485133.4017919316</v>
      </c>
      <c r="F14" s="274">
        <f>F13*'Calcul R84'!$Q$38</f>
        <v>1402659.5198975371</v>
      </c>
      <c r="G14" s="274">
        <f>G13*'Calcul R84'!$Q$38</f>
        <v>1647355.2029274241</v>
      </c>
      <c r="H14" s="274">
        <f>H13*'Calcul R84'!$Q$38</f>
        <v>1473677.5358221012</v>
      </c>
      <c r="I14" s="274">
        <f>I13*'Calcul R84'!$Q$38</f>
        <v>1212280.0133915897</v>
      </c>
      <c r="J14" s="274">
        <f>J13*'Calcul R84'!$Q$38</f>
        <v>1453969.9004338596</v>
      </c>
      <c r="K14" s="274">
        <f>K13*'Calcul R84'!$Q$38</f>
        <v>1303775.0845375992</v>
      </c>
      <c r="L14" s="274">
        <f>L13*'Calcul R84'!$Q$38</f>
        <v>1465418.3100295779</v>
      </c>
      <c r="M14" s="274">
        <f>M13*'Calcul R84'!$Q$38</f>
        <v>1326622.0970993466</v>
      </c>
      <c r="N14" s="274">
        <f>N13*'Calcul R84'!$Q$38</f>
        <v>1493361.4862572812</v>
      </c>
      <c r="O14" s="274">
        <f>O13*'Calcul R84'!$Q$38</f>
        <v>1233183.1053613164</v>
      </c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</row>
    <row r="15" spans="1:45" s="7" customFormat="1" x14ac:dyDescent="0.3">
      <c r="A15" s="261" t="s">
        <v>31</v>
      </c>
      <c r="B15" s="262" t="s">
        <v>25</v>
      </c>
      <c r="C15" s="262"/>
      <c r="D15" s="262"/>
      <c r="E15" s="262"/>
      <c r="F15" s="262"/>
      <c r="G15" s="262"/>
      <c r="H15" s="262"/>
      <c r="I15" s="262"/>
      <c r="J15" s="262"/>
      <c r="K15" s="262"/>
      <c r="L15" s="262"/>
      <c r="M15" s="262"/>
      <c r="N15" s="262"/>
      <c r="O15" s="26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</row>
    <row r="16" spans="1:45" s="7" customFormat="1" x14ac:dyDescent="0.3">
      <c r="A16" s="261"/>
      <c r="B16" s="262" t="s">
        <v>26</v>
      </c>
      <c r="C16" s="262"/>
      <c r="D16" s="262"/>
      <c r="E16" s="262"/>
      <c r="F16" s="262"/>
      <c r="G16" s="262"/>
      <c r="H16" s="262"/>
      <c r="I16" s="262"/>
      <c r="J16" s="262"/>
      <c r="K16" s="262"/>
      <c r="L16" s="262"/>
      <c r="M16" s="262"/>
      <c r="N16" s="262"/>
      <c r="O16" s="26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</row>
    <row r="17" spans="1:45" x14ac:dyDescent="0.3">
      <c r="A17" s="264"/>
      <c r="B17" s="282" t="s">
        <v>47</v>
      </c>
      <c r="C17" s="277">
        <f>(C13+C15-C16)*1000*'Calcul R84'!$G$38/$C$2</f>
        <v>22.444333145857346</v>
      </c>
      <c r="D17" s="277">
        <f>(D13+D15-D16)*1000*'Calcul R84'!$G$38/$C$2</f>
        <v>22.967740068294034</v>
      </c>
      <c r="E17" s="277">
        <f>(E13+E15-E16)*1000*'Calcul R84'!$G$38/$C$2</f>
        <v>24.999675767234603</v>
      </c>
      <c r="F17" s="277">
        <f>(F13+F15-F16)*1000*'Calcul R84'!$G$38/$C$2</f>
        <v>23.611369299857792</v>
      </c>
      <c r="G17" s="277">
        <f>(G13+G15-G16)*1000*'Calcul R84'!$G$38/$C$2</f>
        <v>27.730401792163303</v>
      </c>
      <c r="H17" s="277">
        <f>(H13+H15-H16)*1000*'Calcul R84'!$G$38/$C$2</f>
        <v>24.806835895386659</v>
      </c>
      <c r="I17" s="277">
        <f>(I13+I15-I16)*1000*'Calcul R84'!$G$38/$C$2</f>
        <v>20.406656558475643</v>
      </c>
      <c r="J17" s="277">
        <f>(J13+J15-J16)*1000*'Calcul R84'!$G$38/$C$2</f>
        <v>24.475091626319344</v>
      </c>
      <c r="K17" s="277">
        <f>(K13+K15-K16)*1000*'Calcul R84'!$G$38/$C$2</f>
        <v>21.946819287420016</v>
      </c>
      <c r="L17" s="277">
        <f>(L13+L15-L16)*1000*'Calcul R84'!$G$38/$C$2</f>
        <v>24.667805982886996</v>
      </c>
      <c r="M17" s="277">
        <f>(M13+M15-M16)*1000*'Calcul R84'!$G$38/$C$2</f>
        <v>22.331409591297408</v>
      </c>
      <c r="N17" s="277">
        <f>(N13+N15-N16)*1000*'Calcul R84'!$G$38/$C$2</f>
        <v>25.138181468857745</v>
      </c>
      <c r="O17" s="277">
        <f>(O13+O15-O16)*1000*'Calcul R84'!$G$38/$C$2</f>
        <v>20.758524290455362</v>
      </c>
    </row>
    <row r="18" spans="1:45" s="7" customFormat="1" x14ac:dyDescent="0.3">
      <c r="A18" s="258" t="s">
        <v>104</v>
      </c>
      <c r="B18" s="259" t="s">
        <v>27</v>
      </c>
      <c r="C18" s="259">
        <f>'huile colza tournesol soja'!$D$6*4811086</f>
        <v>2068766.98</v>
      </c>
      <c r="D18" s="259">
        <f>'huile colza tournesol soja'!$D$6*5368730</f>
        <v>2308553.9</v>
      </c>
      <c r="E18" s="259">
        <f>'huile colza tournesol soja'!$D$6*5466467</f>
        <v>2350580.81</v>
      </c>
      <c r="F18" s="259">
        <f>'huile colza tournesol soja'!$D$6*4367716</f>
        <v>1878117.88</v>
      </c>
      <c r="G18" s="259">
        <f>'huile colza tournesol soja'!$D$6*5524274</f>
        <v>2375437.8199999998</v>
      </c>
      <c r="H18" s="259">
        <f>'huile colza tournesol soja'!$D$6*5336103</f>
        <v>2294524.29</v>
      </c>
      <c r="I18" s="259">
        <f>'huile colza tournesol soja'!$D$6*4742965</f>
        <v>2039474.95</v>
      </c>
      <c r="J18" s="259">
        <f>'huile colza tournesol soja'!$D$6*5317377</f>
        <v>2286472.11</v>
      </c>
      <c r="K18" s="259">
        <f>'huile colza tournesol soja'!$D$6*4980537</f>
        <v>2141630.91</v>
      </c>
      <c r="L18" s="259">
        <f>'huile colza tournesol soja'!$D$6*3523299</f>
        <v>1515018.57</v>
      </c>
      <c r="M18" s="259">
        <f>'huile colza tournesol soja'!$D$6*3289962</f>
        <v>1414683.66</v>
      </c>
      <c r="N18" s="259">
        <f>'huile colza tournesol soja'!$D$6*3306518</f>
        <v>1421802.74</v>
      </c>
      <c r="O18" s="259">
        <f>'huile colza tournesol soja'!$D$6*4516778</f>
        <v>1942214.54</v>
      </c>
      <c r="P18" s="7" t="s">
        <v>170</v>
      </c>
      <c r="Q18" s="7">
        <v>2010</v>
      </c>
      <c r="R18" s="7">
        <v>2011</v>
      </c>
      <c r="S18" s="7">
        <v>2012</v>
      </c>
      <c r="T18" s="7">
        <v>2013</v>
      </c>
      <c r="U18" s="7">
        <v>2014</v>
      </c>
      <c r="V18" s="7">
        <v>2015</v>
      </c>
      <c r="W18" s="7">
        <v>2016</v>
      </c>
      <c r="X18" s="7">
        <v>2017</v>
      </c>
      <c r="Y18" s="7">
        <v>2018</v>
      </c>
      <c r="Z18" s="7">
        <v>2019</v>
      </c>
      <c r="AA18" s="7">
        <v>2020</v>
      </c>
      <c r="AB18" s="7">
        <v>2021</v>
      </c>
      <c r="AC18" s="7">
        <v>2022</v>
      </c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</row>
    <row r="19" spans="1:45" s="7" customFormat="1" x14ac:dyDescent="0.3">
      <c r="A19" s="261" t="s">
        <v>173</v>
      </c>
      <c r="B19" s="262" t="s">
        <v>205</v>
      </c>
      <c r="C19" s="262">
        <f>230495.9+Q19</f>
        <v>634088.353</v>
      </c>
      <c r="D19" s="262">
        <f>349236.3+R19</f>
        <v>611029.41599999997</v>
      </c>
      <c r="E19" s="262">
        <f>210108.1+S19</f>
        <v>413478.277</v>
      </c>
      <c r="F19" s="262">
        <f>268870.5+T19</f>
        <v>743770.75600000005</v>
      </c>
      <c r="G19" s="262">
        <f>143817.9+U19</f>
        <v>546416.451</v>
      </c>
      <c r="H19" s="262">
        <f>128949.7+V19</f>
        <v>606028.25</v>
      </c>
      <c r="I19" s="262">
        <f>137956.8+W19</f>
        <v>586405.09</v>
      </c>
      <c r="J19" s="262">
        <f>142448.6+X19</f>
        <v>651184.26599999995</v>
      </c>
      <c r="K19" s="262">
        <f>155489.5+Y19</f>
        <v>562051.83400000003</v>
      </c>
      <c r="L19" s="262">
        <f>138845.3+Z19</f>
        <v>667566.24799999991</v>
      </c>
      <c r="M19" s="262">
        <f>101913.9+AA19</f>
        <v>762130.26699999999</v>
      </c>
      <c r="N19" s="262">
        <f>201662.2+AB19</f>
        <v>952855.42999999993</v>
      </c>
      <c r="O19" s="263">
        <f>176634+AC19</f>
        <v>780281.63099999994</v>
      </c>
      <c r="P19" s="7" t="s">
        <v>171</v>
      </c>
      <c r="Q19" s="7">
        <f>'huile colza tournesol soja'!$D$6*938587.1</f>
        <v>403592.45299999998</v>
      </c>
      <c r="R19" s="7">
        <f>'huile colza tournesol soja'!$D$6*608821.2</f>
        <v>261793.11599999998</v>
      </c>
      <c r="S19" s="7">
        <f>'huile colza tournesol soja'!$D$6*472953.9</f>
        <v>203370.177</v>
      </c>
      <c r="T19" s="7">
        <f>'huile colza tournesol soja'!$D$6*1104419.2</f>
        <v>474900.25599999999</v>
      </c>
      <c r="U19" s="7">
        <f>'huile colza tournesol soja'!$D$6*936275.7</f>
        <v>402598.55099999998</v>
      </c>
      <c r="V19" s="7">
        <f>'huile colza tournesol soja'!$D$6*1109485</f>
        <v>477078.55</v>
      </c>
      <c r="W19" s="7">
        <f>'huile colza tournesol soja'!$D$6*1042903</f>
        <v>448448.29</v>
      </c>
      <c r="X19" s="7">
        <f>'huile colza tournesol soja'!$D$6*1183106.2</f>
        <v>508735.66599999997</v>
      </c>
      <c r="Y19" s="7">
        <f>'huile colza tournesol soja'!$D$6*945493.8</f>
        <v>406562.33400000003</v>
      </c>
      <c r="Z19" s="7">
        <f>'huile colza tournesol soja'!$D$6*1229583.6</f>
        <v>528720.94799999997</v>
      </c>
      <c r="AA19" s="7">
        <f>'huile colza tournesol soja'!$D$6*1535386.9</f>
        <v>660216.36699999997</v>
      </c>
      <c r="AB19" s="7">
        <f>'huile colza tournesol soja'!$D$6*1746961</f>
        <v>751193.23</v>
      </c>
      <c r="AC19" s="7">
        <f>'huile colza tournesol soja'!$D$6*1403831.7</f>
        <v>603647.63099999994</v>
      </c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</row>
    <row r="20" spans="1:45" s="7" customFormat="1" x14ac:dyDescent="0.3">
      <c r="A20" s="261"/>
      <c r="B20" s="262" t="s">
        <v>206</v>
      </c>
      <c r="C20" s="262">
        <f>306625+Q20</f>
        <v>962708.59400000004</v>
      </c>
      <c r="D20" s="262">
        <f>610310.9+R20</f>
        <v>1326485.5320000001</v>
      </c>
      <c r="E20" s="262">
        <f>292353+S20</f>
        <v>939416.26899999997</v>
      </c>
      <c r="F20" s="262">
        <f>298970.3+T20</f>
        <v>865374.77099999995</v>
      </c>
      <c r="G20" s="262">
        <f>238129.5+U20</f>
        <v>829714.98599999992</v>
      </c>
      <c r="H20" s="262">
        <f>269325.5+V20</f>
        <v>895796.5419999999</v>
      </c>
      <c r="I20" s="262">
        <f>283885.2+W20</f>
        <v>922294.93400000012</v>
      </c>
      <c r="J20" s="262">
        <f>205728.5+X20</f>
        <v>808631.24199999997</v>
      </c>
      <c r="K20" s="262">
        <f>210586.2+Y20</f>
        <v>800678.76900000009</v>
      </c>
      <c r="L20" s="262">
        <f>222803+Z20</f>
        <v>906860.97499999998</v>
      </c>
      <c r="M20" s="262">
        <f>393865.5+AA20</f>
        <v>849658.49099999992</v>
      </c>
      <c r="N20" s="262">
        <f>498309.7+AB20</f>
        <v>1019990.301</v>
      </c>
      <c r="O20" s="263">
        <f>547158+AC20</f>
        <v>969914.17700000003</v>
      </c>
      <c r="P20" s="7" t="s">
        <v>172</v>
      </c>
      <c r="Q20" s="7">
        <f>'huile colza tournesol soja'!$D$6*1525775.8</f>
        <v>656083.59400000004</v>
      </c>
      <c r="R20" s="7">
        <f>'huile colza tournesol soja'!$D$6*1665522.4</f>
        <v>716174.63199999998</v>
      </c>
      <c r="S20" s="7">
        <f>'huile colza tournesol soja'!$D$6*1504798.3</f>
        <v>647063.26899999997</v>
      </c>
      <c r="T20" s="7">
        <f>'huile colza tournesol soja'!$D$6*1317219.7</f>
        <v>566404.47100000002</v>
      </c>
      <c r="U20" s="7">
        <f>'huile colza tournesol soja'!$D$6*1375780.2</f>
        <v>591585.48599999992</v>
      </c>
      <c r="V20" s="7">
        <f>'huile colza tournesol soja'!$D$6*1456909.4</f>
        <v>626471.0419999999</v>
      </c>
      <c r="W20" s="7">
        <f>'huile colza tournesol soja'!$D$6*1484673.8</f>
        <v>638409.73400000005</v>
      </c>
      <c r="X20" s="7">
        <f>'huile colza tournesol soja'!$D$6*1402099.4</f>
        <v>602902.74199999997</v>
      </c>
      <c r="Y20" s="7">
        <f>'huile colza tournesol soja'!$D$6*1372308.3</f>
        <v>590092.56900000002</v>
      </c>
      <c r="Z20" s="7">
        <f>'huile colza tournesol soja'!$D$6*1590832.5</f>
        <v>684057.97499999998</v>
      </c>
      <c r="AA20" s="7">
        <f>'huile colza tournesol soja'!$D$6*1059983.7</f>
        <v>455792.99099999998</v>
      </c>
      <c r="AB20" s="7">
        <f>'huile colza tournesol soja'!$D$6*1213210.7</f>
        <v>521680.60099999997</v>
      </c>
      <c r="AC20" s="7">
        <f>'huile colza tournesol soja'!$D$6*983153.9</f>
        <v>422756.17700000003</v>
      </c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</row>
    <row r="21" spans="1:45" x14ac:dyDescent="0.3">
      <c r="A21" s="264"/>
      <c r="B21" s="282" t="s">
        <v>47</v>
      </c>
      <c r="C21" s="277">
        <f>(C18+C19-C20)*1000/$C$2</f>
        <v>27.724690889789546</v>
      </c>
      <c r="D21" s="277">
        <f>(D18+D19-D20)*1000/$D$2</f>
        <v>25.25906286479109</v>
      </c>
      <c r="E21" s="277">
        <f>(E18+E19-E20)*1000/$E$2</f>
        <v>28.790767055860975</v>
      </c>
      <c r="F21" s="277">
        <f>(F18+F19-F20)*1000/$F$2</f>
        <v>27.575710190600581</v>
      </c>
      <c r="G21" s="277">
        <f>(G18+G19-G20)*1000/$G$2</f>
        <v>32.675402282858997</v>
      </c>
      <c r="H21" s="277">
        <f>(H18+H19-H20)*1000/$H$2</f>
        <v>31.177766734891303</v>
      </c>
      <c r="I21" s="277">
        <f>(I18+I19-I20)*1000/$I$2</f>
        <v>26.424957768713892</v>
      </c>
      <c r="J21" s="277">
        <f>(J18+J19-J20)*1000/$J$2</f>
        <v>32.937092983595548</v>
      </c>
      <c r="K21" s="277">
        <f>(K18+K19-K20)*1000/$K$2</f>
        <v>29.347401288417618</v>
      </c>
      <c r="L21" s="277">
        <f>(L18+L19-L20)*1000/$L$2</f>
        <v>19.597345339787065</v>
      </c>
      <c r="M21" s="277">
        <f>(M18+M19-M20)*1000/$M$2</f>
        <v>20.33357803289438</v>
      </c>
      <c r="N21" s="277">
        <f>(N18+N19-N20)*1000/$N$2</f>
        <v>20.680306298675802</v>
      </c>
      <c r="O21" s="278">
        <f>(O18+O19-O20)*1000/$O$2</f>
        <v>26.66666414086972</v>
      </c>
    </row>
    <row r="22" spans="1:45" s="7" customFormat="1" x14ac:dyDescent="0.3">
      <c r="A22" s="258" t="s">
        <v>105</v>
      </c>
      <c r="B22" s="259" t="s">
        <v>27</v>
      </c>
      <c r="C22" s="259">
        <f>'huile colza tournesol soja'!$D$7*1635628</f>
        <v>736032.6</v>
      </c>
      <c r="D22" s="259">
        <f>'huile colza tournesol soja'!$D$7*1872497</f>
        <v>842623.65</v>
      </c>
      <c r="E22" s="259">
        <f>'huile colza tournesol soja'!$D$7*1586027</f>
        <v>713712.15</v>
      </c>
      <c r="F22" s="259">
        <f>'huile colza tournesol soja'!$D$7*1571711</f>
        <v>707269.95000000007</v>
      </c>
      <c r="G22" s="259">
        <f>'huile colza tournesol soja'!$D$7*1584345</f>
        <v>712955.25</v>
      </c>
      <c r="H22" s="259">
        <f>'huile colza tournesol soja'!$D$7*1191143</f>
        <v>536014.35</v>
      </c>
      <c r="I22" s="259">
        <f>'huile colza tournesol soja'!$D$7*1169651</f>
        <v>526342.95000000007</v>
      </c>
      <c r="J22" s="259">
        <f>'huile colza tournesol soja'!$D$7*1594319</f>
        <v>717443.55</v>
      </c>
      <c r="K22" s="259">
        <f>'huile colza tournesol soja'!$D$7*1234680</f>
        <v>555606</v>
      </c>
      <c r="L22" s="259">
        <f>'huile colza tournesol soja'!$D$7*1294177</f>
        <v>582379.65</v>
      </c>
      <c r="M22" s="259">
        <f>'huile colza tournesol soja'!$D$7*1608188</f>
        <v>723684.6</v>
      </c>
      <c r="N22" s="259">
        <f>'huile colza tournesol soja'!$D$7*1912886</f>
        <v>860798.70000000007</v>
      </c>
      <c r="O22" s="259">
        <f>'huile colza tournesol soja'!$D$7*1778933</f>
        <v>800519.85</v>
      </c>
      <c r="P22" s="7" t="s">
        <v>213</v>
      </c>
      <c r="Q22" s="7">
        <v>2010</v>
      </c>
      <c r="R22" s="7">
        <v>2011</v>
      </c>
      <c r="S22" s="7">
        <v>2012</v>
      </c>
      <c r="T22" s="7">
        <v>2013</v>
      </c>
      <c r="U22" s="7">
        <v>2014</v>
      </c>
      <c r="V22" s="7">
        <v>2015</v>
      </c>
      <c r="W22" s="7">
        <v>2016</v>
      </c>
      <c r="X22" s="7">
        <v>2017</v>
      </c>
      <c r="Y22" s="7">
        <v>2018</v>
      </c>
      <c r="Z22" s="7">
        <v>2019</v>
      </c>
      <c r="AA22" s="7">
        <v>2020</v>
      </c>
      <c r="AB22" s="7">
        <v>2021</v>
      </c>
      <c r="AC22" s="7">
        <v>2022</v>
      </c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</row>
    <row r="23" spans="1:45" s="7" customFormat="1" x14ac:dyDescent="0.3">
      <c r="A23" s="261" t="s">
        <v>173</v>
      </c>
      <c r="B23" s="262" t="s">
        <v>25</v>
      </c>
      <c r="C23" s="262">
        <v>5</v>
      </c>
      <c r="D23" s="262">
        <f>108688.7+R23</f>
        <v>290089.41499999998</v>
      </c>
      <c r="E23" s="262">
        <f>227242.3+S23</f>
        <v>291202.73499999999</v>
      </c>
      <c r="F23" s="262">
        <f>152926+T23</f>
        <v>343407.35499999998</v>
      </c>
      <c r="G23" s="262">
        <f>182994.6+U23</f>
        <v>344973.18000000005</v>
      </c>
      <c r="H23" s="262">
        <f>154937.5+V23</f>
        <v>268919.70999999996</v>
      </c>
      <c r="I23" s="262">
        <f>296345.9+W23</f>
        <v>538189.08500000008</v>
      </c>
      <c r="J23" s="262">
        <f>297228.2+X23</f>
        <v>449222.45</v>
      </c>
      <c r="K23" s="262">
        <f>266267.2+Y23</f>
        <v>390486.91000000003</v>
      </c>
      <c r="L23" s="262">
        <f>334244.4+Z23</f>
        <v>484145.16000000003</v>
      </c>
      <c r="M23" s="262">
        <f>297872+AA23</f>
        <v>443931.42500000005</v>
      </c>
      <c r="N23" s="262">
        <f>262759.3+AB23</f>
        <v>353219.065</v>
      </c>
      <c r="O23" s="263">
        <f>377319+AC23</f>
        <v>458548.185</v>
      </c>
      <c r="P23" s="7" t="s">
        <v>171</v>
      </c>
      <c r="Q23" s="7">
        <f>'huile colza tournesol soja'!$D$7*148912.1</f>
        <v>67010.445000000007</v>
      </c>
      <c r="R23" s="7">
        <f>'huile colza tournesol soja'!$D$7*403112.7</f>
        <v>181400.715</v>
      </c>
      <c r="S23" s="7">
        <f>'huile colza tournesol soja'!$D$7*142134.3</f>
        <v>63960.434999999998</v>
      </c>
      <c r="T23" s="7">
        <f>'huile colza tournesol soja'!$D$7*423291.9</f>
        <v>190481.35500000001</v>
      </c>
      <c r="U23" s="7">
        <f>'huile colza tournesol soja'!$D$7*359952.4</f>
        <v>161978.58000000002</v>
      </c>
      <c r="V23" s="7">
        <f>'huile colza tournesol soja'!$D$7*253293.8</f>
        <v>113982.20999999999</v>
      </c>
      <c r="W23" s="7">
        <f>'huile colza tournesol soja'!$D$7*537429.3</f>
        <v>241843.18500000003</v>
      </c>
      <c r="X23" s="7">
        <f>'huile colza tournesol soja'!$D$7*337765</f>
        <v>151994.25</v>
      </c>
      <c r="Y23" s="7">
        <f>'huile colza tournesol soja'!$D$7*276043.8</f>
        <v>124219.70999999999</v>
      </c>
      <c r="Z23" s="7">
        <f>'huile colza tournesol soja'!$D$7*333112.8</f>
        <v>149900.76</v>
      </c>
      <c r="AA23" s="7">
        <f>'huile colza tournesol soja'!$D$7*324576.5</f>
        <v>146059.42500000002</v>
      </c>
      <c r="AB23" s="7">
        <f>'huile colza tournesol soja'!$D$7*201021.7</f>
        <v>90459.765000000014</v>
      </c>
      <c r="AC23" s="7">
        <f>'huile colza tournesol soja'!$D$7*180509.3</f>
        <v>81229.184999999998</v>
      </c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</row>
    <row r="24" spans="1:45" s="7" customFormat="1" x14ac:dyDescent="0.3">
      <c r="A24" s="261"/>
      <c r="B24" s="262" t="s">
        <v>26</v>
      </c>
      <c r="C24" s="262">
        <f>403192.8+Q24</f>
        <v>599500.66500000004</v>
      </c>
      <c r="D24" s="262">
        <f>443367.4+R24</f>
        <v>621278.32000000007</v>
      </c>
      <c r="E24" s="262">
        <f>443379.2+S24</f>
        <v>643904.51</v>
      </c>
      <c r="F24" s="262">
        <f>345333.2+T24</f>
        <v>536105.16500000004</v>
      </c>
      <c r="G24" s="262">
        <f>384696.1+U24</f>
        <v>592320.61</v>
      </c>
      <c r="H24" s="262">
        <f>337076.2+V24</f>
        <v>518754.07</v>
      </c>
      <c r="I24" s="262">
        <f>445012.5+W24</f>
        <v>581477.47499999998</v>
      </c>
      <c r="J24" s="262">
        <f>422880.6+X24</f>
        <v>580710.76500000001</v>
      </c>
      <c r="K24" s="262">
        <f>428660.2+Y24</f>
        <v>676599.35499999998</v>
      </c>
      <c r="L24" s="262">
        <f>345469.2+Z24</f>
        <v>565841.08499999996</v>
      </c>
      <c r="M24" s="262">
        <f>362826.7+AA24</f>
        <v>553623.59499999997</v>
      </c>
      <c r="N24" s="262">
        <f>369407.1+AB24</f>
        <v>577068.41999999993</v>
      </c>
      <c r="O24" s="263">
        <f>443109.2+AC24</f>
        <v>738942.71</v>
      </c>
      <c r="P24" s="7" t="s">
        <v>172</v>
      </c>
      <c r="Q24" s="7">
        <f>'huile colza tournesol soja'!$D$7*436239.7</f>
        <v>196307.86500000002</v>
      </c>
      <c r="R24" s="7">
        <f>'huile colza tournesol soja'!$D$7*395357.6</f>
        <v>177910.91999999998</v>
      </c>
      <c r="S24" s="7">
        <f>'huile colza tournesol soja'!$D$7*445611.8</f>
        <v>200525.31</v>
      </c>
      <c r="T24" s="7">
        <f>'huile colza tournesol soja'!$D$7*423937.7</f>
        <v>190771.965</v>
      </c>
      <c r="U24" s="7">
        <f>'huile colza tournesol soja'!$D$7*461387.8</f>
        <v>207624.51</v>
      </c>
      <c r="V24" s="7">
        <f>'huile colza tournesol soja'!$D$7*403728.6</f>
        <v>181677.87</v>
      </c>
      <c r="W24" s="7">
        <f>'huile colza tournesol soja'!$D$7*303255.5</f>
        <v>136464.97500000001</v>
      </c>
      <c r="X24" s="7">
        <f>'huile colza tournesol soja'!$D$7*350733.7</f>
        <v>157830.16500000001</v>
      </c>
      <c r="Y24" s="7">
        <f>'huile colza tournesol soja'!$D$7*550975.9</f>
        <v>247939.15500000003</v>
      </c>
      <c r="Z24" s="7">
        <f>'huile colza tournesol soja'!$D$7*489715.3</f>
        <v>220371.88500000001</v>
      </c>
      <c r="AA24" s="7">
        <f>'huile colza tournesol soja'!$D$7*423993.1</f>
        <v>190796.89499999999</v>
      </c>
      <c r="AB24" s="7">
        <f>'huile colza tournesol soja'!$D$7*461469.6</f>
        <v>207661.32</v>
      </c>
      <c r="AC24" s="7">
        <f>'huile colza tournesol soja'!$D$7*657407.8</f>
        <v>295833.51</v>
      </c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</row>
    <row r="25" spans="1:45" x14ac:dyDescent="0.3">
      <c r="A25" s="264"/>
      <c r="B25" s="282" t="s">
        <v>47</v>
      </c>
      <c r="C25" s="277">
        <f>(C22+C23-C24)*1000/$C$2</f>
        <v>2.1753592573978247</v>
      </c>
      <c r="D25" s="277">
        <f>(D22+D23-D24)*1000/$D$2</f>
        <v>8.1089575950307147</v>
      </c>
      <c r="E25" s="277">
        <f>(E22+E23-E24)*1000/$E$2</f>
        <v>5.696328897272438</v>
      </c>
      <c r="F25" s="277">
        <f>(F22+F23-F24)*1000/$F$2</f>
        <v>8.0783263300897161</v>
      </c>
      <c r="G25" s="277">
        <f>(G22+G23-G24)*1000/$G$2</f>
        <v>7.2719454835651662</v>
      </c>
      <c r="H25" s="277">
        <f>(H22+H23-H24)*1000/$H$2</f>
        <v>4.4506428619317306</v>
      </c>
      <c r="I25" s="277">
        <f>(I22+I23-I24)*1000/$I$2</f>
        <v>7.4928433590007426</v>
      </c>
      <c r="J25" s="277">
        <f>(J22+J23-J24)*1000/$J$2</f>
        <v>9.065023118425799</v>
      </c>
      <c r="K25" s="277">
        <f>(K22+K23-K24)*1000/$K$2</f>
        <v>4.1560267908674478</v>
      </c>
      <c r="L25" s="277">
        <f>(L22+L23-L24)*1000/$L$2</f>
        <v>7.691376091052633</v>
      </c>
      <c r="M25" s="277">
        <f>(M22+M23-M24)*1000/$M$2</f>
        <v>9.4070842407425701</v>
      </c>
      <c r="N25" s="277">
        <f>(N22+N23-N24)*1000/$N$2</f>
        <v>9.7236435976477207</v>
      </c>
      <c r="O25" s="278">
        <f>(O22+O23-O24)*1000/$O$2</f>
        <v>7.9140419109747553</v>
      </c>
    </row>
    <row r="26" spans="1:45" s="7" customFormat="1" x14ac:dyDescent="0.3">
      <c r="A26" s="258" t="s">
        <v>85</v>
      </c>
      <c r="B26" s="259" t="s">
        <v>27</v>
      </c>
      <c r="C26" s="259">
        <f>137484</f>
        <v>137484</v>
      </c>
      <c r="D26" s="259">
        <v>124999</v>
      </c>
      <c r="E26" s="259">
        <v>105807</v>
      </c>
      <c r="F26" s="259">
        <v>112575</v>
      </c>
      <c r="G26" s="259">
        <v>229948</v>
      </c>
      <c r="H26" s="259">
        <v>340421</v>
      </c>
      <c r="I26" s="259">
        <v>338955</v>
      </c>
      <c r="J26" s="259">
        <v>415202</v>
      </c>
      <c r="K26" s="259">
        <v>398481</v>
      </c>
      <c r="L26" s="259">
        <v>428531</v>
      </c>
      <c r="M26" s="259">
        <v>406812</v>
      </c>
      <c r="N26" s="259">
        <v>439352</v>
      </c>
      <c r="O26" s="259">
        <v>373854</v>
      </c>
      <c r="AD26" s="3"/>
      <c r="AE26" s="1" t="s">
        <v>192</v>
      </c>
      <c r="AF26" s="1" t="s">
        <v>31</v>
      </c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</row>
    <row r="27" spans="1:45" s="7" customFormat="1" x14ac:dyDescent="0.3">
      <c r="A27" s="261" t="s">
        <v>31</v>
      </c>
      <c r="B27" s="262" t="s">
        <v>228</v>
      </c>
      <c r="C27" s="274">
        <f>C26*'Calcul R84'!$F$47</f>
        <v>64786.980821917816</v>
      </c>
      <c r="D27" s="274">
        <f>D26*'Calcul R84'!$F$47</f>
        <v>58903.638356164389</v>
      </c>
      <c r="E27" s="274">
        <f>E26*'Calcul R84'!$F$47</f>
        <v>49859.736986301374</v>
      </c>
      <c r="F27" s="274">
        <f>F26*'Calcul R84'!$F$47</f>
        <v>53049.041095890418</v>
      </c>
      <c r="G27" s="274">
        <f>G26*'Calcul R84'!$F$47</f>
        <v>108359.05753424659</v>
      </c>
      <c r="H27" s="274">
        <f>H26*'Calcul R84'!$F$47</f>
        <v>160417.56712328771</v>
      </c>
      <c r="I27" s="274">
        <f>I26*'Calcul R84'!$F$47</f>
        <v>159726.73972602742</v>
      </c>
      <c r="J27" s="274">
        <f>J26*'Calcul R84'!$F$47</f>
        <v>195656.83287671235</v>
      </c>
      <c r="K27" s="274">
        <f>K26*'Calcul R84'!$F$47</f>
        <v>187777.34794520552</v>
      </c>
      <c r="L27" s="274">
        <f>L26*'Calcul R84'!$F$47</f>
        <v>201937.89589041099</v>
      </c>
      <c r="M27" s="274">
        <f>M26*'Calcul R84'!$F$47</f>
        <v>191703.1890410959</v>
      </c>
      <c r="N27" s="274">
        <f>N26*'Calcul R84'!$F$47</f>
        <v>207037.10684931508</v>
      </c>
      <c r="O27" s="274">
        <f>O26*'Calcul R84'!$F$47</f>
        <v>176172.29589041098</v>
      </c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</row>
    <row r="28" spans="1:45" s="7" customFormat="1" x14ac:dyDescent="0.3">
      <c r="A28" s="261"/>
      <c r="B28" s="262" t="s">
        <v>25</v>
      </c>
      <c r="C28" s="262"/>
      <c r="D28" s="262"/>
      <c r="E28" s="262"/>
      <c r="F28" s="262"/>
      <c r="G28" s="262"/>
      <c r="H28" s="262"/>
      <c r="I28" s="262"/>
      <c r="J28" s="262"/>
      <c r="K28" s="262"/>
      <c r="L28" s="262"/>
      <c r="M28" s="262"/>
      <c r="N28" s="262"/>
      <c r="O28" s="263"/>
      <c r="AD28" s="3"/>
      <c r="AE28" s="3" t="s">
        <v>193</v>
      </c>
      <c r="AF28" s="3" t="s">
        <v>195</v>
      </c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</row>
    <row r="29" spans="1:45" s="7" customFormat="1" x14ac:dyDescent="0.3">
      <c r="A29" s="261"/>
      <c r="B29" s="262" t="s">
        <v>26</v>
      </c>
      <c r="C29" s="262"/>
      <c r="D29" s="262"/>
      <c r="E29" s="262"/>
      <c r="F29" s="262"/>
      <c r="G29" s="262"/>
      <c r="H29" s="262"/>
      <c r="I29" s="262"/>
      <c r="J29" s="262"/>
      <c r="K29" s="262"/>
      <c r="L29" s="262"/>
      <c r="M29" s="262"/>
      <c r="N29" s="262"/>
      <c r="O29" s="263"/>
      <c r="AD29" s="3"/>
      <c r="AE29" s="3" t="s">
        <v>193</v>
      </c>
      <c r="AF29" s="3" t="s">
        <v>31</v>
      </c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</row>
    <row r="30" spans="1:45" x14ac:dyDescent="0.3">
      <c r="A30" s="264"/>
      <c r="B30" s="282" t="s">
        <v>47</v>
      </c>
      <c r="C30" s="277">
        <f>(C26+C28-C29)*1000*'Calcul R84'!$F$37/$C$2</f>
        <v>1.989426112534342</v>
      </c>
      <c r="D30" s="277">
        <f>(D26+D28-D29)*1000*'Calcul R84'!$F$37/$C$2</f>
        <v>1.8087651991553944</v>
      </c>
      <c r="E30" s="277">
        <f>(E26+E28-E29)*1000*'Calcul R84'!$F$37/$C$2</f>
        <v>1.5310524038355091</v>
      </c>
      <c r="F30" s="277">
        <f>(F26+F28-F29)*1000*'Calcul R84'!$F$37/$C$2</f>
        <v>1.6289869702551101</v>
      </c>
      <c r="G30" s="277">
        <f>(G26+G28-G29)*1000*'Calcul R84'!$F$37/$C$2</f>
        <v>3.3274021393401916</v>
      </c>
      <c r="H30" s="277">
        <f>(H26+H28-H29)*1000*'Calcul R84'!$F$37/$C$2</f>
        <v>4.9259726706747928</v>
      </c>
      <c r="I30" s="277">
        <f>(I26+I28-I29)*1000*'Calcul R84'!$F$37/$C$2</f>
        <v>4.9047593027121543</v>
      </c>
      <c r="J30" s="277">
        <f>(J26+J28-J29)*1000*'Calcul R84'!$F$37/$C$2</f>
        <v>6.0080714903296668</v>
      </c>
      <c r="K30" s="277">
        <f>(K26+K28-K29)*1000*'Calcul R84'!$F$37/$C$2</f>
        <v>5.7661146515143376</v>
      </c>
      <c r="L30" s="277">
        <f>(L26+L28-L29)*1000*'Calcul R84'!$F$37/$C$2</f>
        <v>6.2009452840363544</v>
      </c>
      <c r="M30" s="277">
        <f>(M26+M28-M29)*1000*'Calcul R84'!$F$37/$C$2</f>
        <v>5.8866661989200253</v>
      </c>
      <c r="N30" s="277">
        <f>(N26+N28-N29)*1000*'Calcul R84'!$F$37/$C$2</f>
        <v>6.3575277224563456</v>
      </c>
      <c r="O30" s="277">
        <f>(O26+O28-O29)*1000*'Calcul R84'!$F$37/$C$2</f>
        <v>5.4097561161692553</v>
      </c>
      <c r="P30">
        <f>'cereal - util hum anim indus'!Q326*1000000/'calcul conso'!L2</f>
        <v>10.983648220446213</v>
      </c>
      <c r="Q30">
        <f>'cereal - util hum anim indus'!R326*1000000/'calcul conso'!M2</f>
        <v>9.208024973021713</v>
      </c>
      <c r="R30">
        <f>'cereal - util hum anim indus'!S326*1000000/'calcul conso'!N2</f>
        <v>9.4801615254651566</v>
      </c>
      <c r="S30">
        <f>387000000/O2</f>
        <v>5.8884543250172081</v>
      </c>
      <c r="AE30" s="6" t="s">
        <v>194</v>
      </c>
      <c r="AF30" s="6" t="s">
        <v>195</v>
      </c>
      <c r="AG30" s="132"/>
      <c r="AH30" s="132"/>
      <c r="AI30" s="132"/>
      <c r="AJ30" s="132"/>
      <c r="AK30" s="132"/>
      <c r="AL30" s="132"/>
      <c r="AM30" s="132"/>
      <c r="AN30" s="132"/>
      <c r="AO30" s="132"/>
      <c r="AP30" s="132"/>
      <c r="AQ30" s="132"/>
      <c r="AR30" s="132"/>
      <c r="AS30" s="132"/>
    </row>
    <row r="31" spans="1:45" s="7" customFormat="1" x14ac:dyDescent="0.3">
      <c r="A31" s="38" t="s">
        <v>140</v>
      </c>
      <c r="B31" s="34" t="s">
        <v>27</v>
      </c>
      <c r="C31" s="34">
        <v>1555787</v>
      </c>
      <c r="D31" s="34">
        <v>1035801</v>
      </c>
      <c r="E31" s="34">
        <v>858134</v>
      </c>
      <c r="F31" s="34">
        <v>771708</v>
      </c>
      <c r="G31" s="34">
        <v>855872</v>
      </c>
      <c r="H31" s="34">
        <v>973685</v>
      </c>
      <c r="I31" s="34">
        <v>818064</v>
      </c>
      <c r="J31" s="34">
        <v>1060819</v>
      </c>
      <c r="K31" s="34">
        <v>844774</v>
      </c>
      <c r="L31" s="34">
        <v>1010973</v>
      </c>
      <c r="M31" s="34">
        <v>924625</v>
      </c>
      <c r="N31" s="34">
        <v>1000115</v>
      </c>
      <c r="O31" s="35">
        <v>796159</v>
      </c>
      <c r="P31" s="145" t="s">
        <v>223</v>
      </c>
      <c r="Q31" s="146" t="s">
        <v>227</v>
      </c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</row>
    <row r="32" spans="1:45" s="7" customFormat="1" x14ac:dyDescent="0.3">
      <c r="A32" s="39"/>
      <c r="B32" s="36" t="s">
        <v>228</v>
      </c>
      <c r="C32" s="98">
        <f>C31*'Calcul R84'!$Q$50</f>
        <v>346904.56316682551</v>
      </c>
      <c r="D32" s="98">
        <f>D31*'Calcul R84'!$Q$50</f>
        <v>230959.69656049385</v>
      </c>
      <c r="E32" s="98">
        <f>E31*'Calcul R84'!$Q$50</f>
        <v>191344.05957152272</v>
      </c>
      <c r="F32" s="98">
        <f>F31*'Calcul R84'!$Q$50</f>
        <v>172073.05796509713</v>
      </c>
      <c r="G32" s="98">
        <f>G31*'Calcul R84'!$Q$50</f>
        <v>190839.68582249194</v>
      </c>
      <c r="H32" s="98">
        <f>H31*'Calcul R84'!$Q$50</f>
        <v>217109.26340629565</v>
      </c>
      <c r="I32" s="98">
        <f>I31*'Calcul R84'!$Q$50</f>
        <v>182409.37516672007</v>
      </c>
      <c r="J32" s="98">
        <f>J31*'Calcul R84'!$Q$50</f>
        <v>236538.13265830648</v>
      </c>
      <c r="K32" s="98">
        <f>K31*'Calcul R84'!$Q$50</f>
        <v>188365.08818025337</v>
      </c>
      <c r="L32" s="98">
        <f>L31*'Calcul R84'!$Q$50</f>
        <v>225423.62607378457</v>
      </c>
      <c r="M32" s="98">
        <f>M31*'Calcul R84'!$Q$50</f>
        <v>206170.0166656014</v>
      </c>
      <c r="N32" s="98">
        <f>N31*'Calcul R84'!$Q$50</f>
        <v>223002.54288767659</v>
      </c>
      <c r="O32" s="98">
        <f>O31*'Calcul R84'!$Q$50</f>
        <v>177525.06616030127</v>
      </c>
      <c r="P32" s="150"/>
      <c r="Q32" s="151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</row>
    <row r="33" spans="1:45" s="7" customFormat="1" x14ac:dyDescent="0.3">
      <c r="A33" s="39" t="s">
        <v>31</v>
      </c>
      <c r="B33" s="36" t="s">
        <v>25</v>
      </c>
      <c r="C33" s="36"/>
      <c r="D33" s="36"/>
      <c r="E33" s="36"/>
      <c r="F33" s="36"/>
      <c r="G33" s="36"/>
      <c r="H33" s="36"/>
      <c r="I33" s="36"/>
      <c r="J33" s="36"/>
      <c r="K33" s="36"/>
      <c r="L33" s="36"/>
      <c r="M33" s="36"/>
      <c r="N33" s="36"/>
      <c r="O33" s="37"/>
      <c r="P33" s="147" t="s">
        <v>224</v>
      </c>
      <c r="Q33" s="148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</row>
    <row r="34" spans="1:45" s="7" customFormat="1" x14ac:dyDescent="0.3">
      <c r="A34" s="39"/>
      <c r="B34" s="36" t="s">
        <v>26</v>
      </c>
      <c r="C34" s="36"/>
      <c r="D34" s="36"/>
      <c r="E34" s="36"/>
      <c r="F34" s="36"/>
      <c r="G34" s="36"/>
      <c r="H34" s="36"/>
      <c r="I34" s="36"/>
      <c r="J34" s="36"/>
      <c r="K34" s="36"/>
      <c r="L34" s="36"/>
      <c r="M34" s="36"/>
      <c r="N34" s="36"/>
      <c r="O34" s="37"/>
      <c r="P34" s="145" t="s">
        <v>225</v>
      </c>
      <c r="Q34" s="148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</row>
    <row r="35" spans="1:45" x14ac:dyDescent="0.3">
      <c r="A35" s="30"/>
      <c r="B35" s="42" t="s">
        <v>47</v>
      </c>
      <c r="C35" s="93">
        <f>(C31+C33-C34)*1000/$C$2</f>
        <v>24.787400222432051</v>
      </c>
      <c r="D35" s="93">
        <f>(D31+D33-D34)*1000/$D$2</f>
        <v>16.422948319419344</v>
      </c>
      <c r="E35" s="93">
        <f>(E31+E33-E34)*1000/$E$2</f>
        <v>13.540368478141344</v>
      </c>
      <c r="F35" s="93">
        <f>(F31+F33-F34)*1000/$F$2</f>
        <v>12.115131331324841</v>
      </c>
      <c r="G35" s="93">
        <f>(G31+G33-G34)*1000/$G$2</f>
        <v>13.367160639419424</v>
      </c>
      <c r="H35" s="93">
        <f>(H31+H33-H34)*1000/$H$2</f>
        <v>15.14265268868029</v>
      </c>
      <c r="I35" s="93">
        <f>(I31+I33-I34)*1000/$I$2</f>
        <v>12.689302445747703</v>
      </c>
      <c r="J35" s="93">
        <f>(J31+J33-J34)*1000/$J$2</f>
        <v>16.411405146786237</v>
      </c>
      <c r="K35" s="93">
        <f>(K31+K33-K34)*1000/$K$2</f>
        <v>13.027782338721446</v>
      </c>
      <c r="L35" s="93">
        <f>(L31+L33-L34)*1000/$L$2</f>
        <v>15.53031019911772</v>
      </c>
      <c r="M35" s="93">
        <f>(M31+M33-M34)*1000/$M$2</f>
        <v>14.166339585158404</v>
      </c>
      <c r="N35" s="93">
        <f>(N31+N33-N34)*1000/$N$2</f>
        <v>15.267716173978398</v>
      </c>
      <c r="O35" s="94">
        <f>(O31+O33-O34)*1000/$O$2</f>
        <v>12.114072110985465</v>
      </c>
      <c r="P35" s="149" t="s">
        <v>226</v>
      </c>
      <c r="Q35" s="80"/>
    </row>
    <row r="36" spans="1:45" s="7" customFormat="1" x14ac:dyDescent="0.3">
      <c r="A36" s="38" t="s">
        <v>133</v>
      </c>
      <c r="B36" s="34" t="s">
        <v>27</v>
      </c>
      <c r="C36" s="34">
        <v>375628</v>
      </c>
      <c r="D36" s="34">
        <v>382875</v>
      </c>
      <c r="E36" s="34">
        <v>354979</v>
      </c>
      <c r="F36" s="34">
        <v>357232</v>
      </c>
      <c r="G36" s="34">
        <v>322347</v>
      </c>
      <c r="H36" s="34">
        <v>305307</v>
      </c>
      <c r="I36" s="34">
        <v>307306</v>
      </c>
      <c r="J36" s="34">
        <v>288702</v>
      </c>
      <c r="K36" s="34">
        <v>282139</v>
      </c>
      <c r="L36" s="34">
        <v>252595</v>
      </c>
      <c r="M36" s="34">
        <v>253772</v>
      </c>
      <c r="N36" s="34">
        <v>266410</v>
      </c>
      <c r="O36" s="35">
        <v>211393</v>
      </c>
      <c r="W36" s="89"/>
      <c r="X36" s="89"/>
      <c r="Y36" s="89"/>
      <c r="Z36" s="89"/>
      <c r="AA36" s="120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</row>
    <row r="37" spans="1:45" s="7" customFormat="1" x14ac:dyDescent="0.3">
      <c r="A37" s="39" t="s">
        <v>136</v>
      </c>
      <c r="B37" s="36" t="s">
        <v>25</v>
      </c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7"/>
      <c r="W37" s="89"/>
      <c r="X37" s="89"/>
      <c r="Y37" s="89"/>
      <c r="Z37" s="89"/>
      <c r="AA37" s="120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</row>
    <row r="38" spans="1:45" s="7" customFormat="1" x14ac:dyDescent="0.3">
      <c r="A38" s="39" t="s">
        <v>31</v>
      </c>
      <c r="B38" s="36" t="s">
        <v>26</v>
      </c>
      <c r="C38" s="36"/>
      <c r="D38" s="36"/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7"/>
      <c r="W38" s="89"/>
      <c r="X38" s="89"/>
      <c r="Y38" s="89"/>
      <c r="Z38" s="89"/>
      <c r="AA38" s="120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</row>
    <row r="39" spans="1:45" x14ac:dyDescent="0.3">
      <c r="A39" s="30"/>
      <c r="B39" s="42" t="s">
        <v>47</v>
      </c>
      <c r="C39" s="32">
        <f>(C36+C37-C38)*1000/$C$2</f>
        <v>5.9846505792577691</v>
      </c>
      <c r="D39" s="32">
        <f>(D36+D37-D38)*1000/$D$2</f>
        <v>6.0706026908621267</v>
      </c>
      <c r="E39" s="32">
        <f>(E36+E37-E38)*1000/$E$2</f>
        <v>5.6011607301448683</v>
      </c>
      <c r="F39" s="32">
        <f>(F36+F37-F38)*1000/$F$2</f>
        <v>5.6082256446114798</v>
      </c>
      <c r="G39" s="32">
        <f>(G36+G37-G38)*1000/$G$2</f>
        <v>5.0344725971114057</v>
      </c>
      <c r="H39" s="32">
        <f>(H36+H37-H38)*1000/$H$2</f>
        <v>4.7481042271606455</v>
      </c>
      <c r="I39" s="32">
        <f>(I36+I37-I38)*1000/$I$2</f>
        <v>4.7667404718859938</v>
      </c>
      <c r="J39" s="32">
        <f>(J36+J37-J38)*1000/$J$2</f>
        <v>4.4663655993034439</v>
      </c>
      <c r="K39" s="32">
        <f>(K36+K37-K38)*1000/$K$2</f>
        <v>4.3510400193004637</v>
      </c>
      <c r="L39" s="32">
        <f>(L36+L37-L38)*1000/$L$2</f>
        <v>3.8803001709700857</v>
      </c>
      <c r="M39" s="32">
        <f>(M36+M37-M38)*1000/$M$2</f>
        <v>3.888084714565168</v>
      </c>
      <c r="N39" s="32">
        <f>(N36+N37-N38)*1000/$N$2</f>
        <v>4.0670045603851408</v>
      </c>
      <c r="O39" s="33">
        <f>(O36+O37-O38)*1000/$O$2</f>
        <v>3.2164806850862084</v>
      </c>
      <c r="AA39" s="77"/>
    </row>
    <row r="40" spans="1:45" s="7" customFormat="1" x14ac:dyDescent="0.3">
      <c r="A40" s="38" t="s">
        <v>32</v>
      </c>
      <c r="B40" s="34" t="s">
        <v>27</v>
      </c>
      <c r="C40" s="34">
        <v>6611980</v>
      </c>
      <c r="D40" s="34">
        <v>7450302</v>
      </c>
      <c r="E40" s="34">
        <v>6383831</v>
      </c>
      <c r="F40" s="34">
        <v>6979443</v>
      </c>
      <c r="G40" s="34">
        <v>8110188</v>
      </c>
      <c r="H40" s="34">
        <v>7170027</v>
      </c>
      <c r="I40" s="34">
        <v>7027468</v>
      </c>
      <c r="J40" s="34">
        <v>8644937</v>
      </c>
      <c r="K40" s="34">
        <v>7977785</v>
      </c>
      <c r="L40" s="34">
        <v>8685950</v>
      </c>
      <c r="M40" s="34">
        <v>8822178</v>
      </c>
      <c r="N40" s="34">
        <v>8987760</v>
      </c>
      <c r="O40" s="35">
        <v>8042673</v>
      </c>
      <c r="W40"/>
      <c r="X40"/>
      <c r="Y40"/>
      <c r="Z40"/>
      <c r="AA40" s="77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</row>
    <row r="41" spans="1:45" s="7" customFormat="1" x14ac:dyDescent="0.3">
      <c r="A41" s="39" t="s">
        <v>31</v>
      </c>
      <c r="B41" s="36" t="s">
        <v>25</v>
      </c>
      <c r="C41" s="40">
        <v>130946</v>
      </c>
      <c r="D41" s="40">
        <v>127867</v>
      </c>
      <c r="E41" s="40">
        <v>141211</v>
      </c>
      <c r="F41" s="40">
        <v>264013</v>
      </c>
      <c r="G41" s="40">
        <v>376985</v>
      </c>
      <c r="H41" s="40">
        <v>364079</v>
      </c>
      <c r="I41" s="40">
        <v>432517</v>
      </c>
      <c r="J41" s="40">
        <v>409974</v>
      </c>
      <c r="K41" s="40">
        <v>379216</v>
      </c>
      <c r="L41" s="40">
        <v>412074</v>
      </c>
      <c r="M41" s="40">
        <v>327566</v>
      </c>
      <c r="N41" s="40">
        <v>332666</v>
      </c>
      <c r="O41" s="37">
        <v>410521</v>
      </c>
      <c r="W41"/>
      <c r="X41"/>
      <c r="Y41"/>
      <c r="Z41"/>
      <c r="AA41" s="77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</row>
    <row r="42" spans="1:45" s="7" customFormat="1" x14ac:dyDescent="0.3">
      <c r="A42" s="39" t="s">
        <v>35</v>
      </c>
      <c r="B42" s="36" t="s">
        <v>26</v>
      </c>
      <c r="C42" s="36">
        <v>2335878</v>
      </c>
      <c r="D42" s="36">
        <v>2003965</v>
      </c>
      <c r="E42" s="36">
        <v>1986167</v>
      </c>
      <c r="F42" s="40">
        <v>1925108</v>
      </c>
      <c r="G42" s="40">
        <v>1919125</v>
      </c>
      <c r="H42" s="40">
        <v>1982917</v>
      </c>
      <c r="I42" s="40">
        <v>1875431</v>
      </c>
      <c r="J42" s="40">
        <v>2039194</v>
      </c>
      <c r="K42" s="40">
        <v>2327501</v>
      </c>
      <c r="L42" s="40">
        <v>2338978</v>
      </c>
      <c r="M42" s="40">
        <v>2380641</v>
      </c>
      <c r="N42" s="40">
        <v>2441151</v>
      </c>
      <c r="O42" s="37">
        <v>2944814</v>
      </c>
      <c r="P42" s="7" t="s">
        <v>36</v>
      </c>
      <c r="W42"/>
      <c r="X42"/>
      <c r="Y42"/>
      <c r="Z42"/>
      <c r="AA42" s="77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</row>
    <row r="43" spans="1:45" x14ac:dyDescent="0.3">
      <c r="A43" s="30"/>
      <c r="B43" s="42" t="s">
        <v>47</v>
      </c>
      <c r="C43" s="32">
        <f t="shared" ref="C43:O43" si="1">(C40+C41-C42)*1000/C2</f>
        <v>70.214793268917106</v>
      </c>
      <c r="D43" s="32">
        <f t="shared" si="1"/>
        <v>88.380745156550915</v>
      </c>
      <c r="E43" s="32">
        <f t="shared" si="1"/>
        <v>71.618232089887826</v>
      </c>
      <c r="F43" s="32">
        <f t="shared" si="1"/>
        <v>83.49334785396654</v>
      </c>
      <c r="G43" s="32">
        <f t="shared" si="1"/>
        <v>102.58093815829641</v>
      </c>
      <c r="H43" s="32">
        <f t="shared" si="1"/>
        <v>86.331541552167735</v>
      </c>
      <c r="I43" s="32">
        <f t="shared" si="1"/>
        <v>86.624145214323235</v>
      </c>
      <c r="J43" s="32">
        <f t="shared" si="1"/>
        <v>108.53668164144466</v>
      </c>
      <c r="K43" s="32">
        <f t="shared" si="1"/>
        <v>92.984648688668159</v>
      </c>
      <c r="L43" s="32">
        <f t="shared" si="1"/>
        <v>103.83074625148825</v>
      </c>
      <c r="M43" s="32">
        <f t="shared" si="1"/>
        <v>103.71059811806354</v>
      </c>
      <c r="N43" s="32">
        <f t="shared" si="1"/>
        <v>105.01874102752707</v>
      </c>
      <c r="O43" s="33">
        <f t="shared" si="1"/>
        <v>83.813550477618307</v>
      </c>
      <c r="AA43" s="77"/>
    </row>
    <row r="44" spans="1:45" x14ac:dyDescent="0.3">
      <c r="A44" s="26" t="s">
        <v>7</v>
      </c>
      <c r="B44" s="27" t="s">
        <v>27</v>
      </c>
      <c r="C44" s="34">
        <v>1771850</v>
      </c>
      <c r="D44" s="34">
        <v>1793312</v>
      </c>
      <c r="E44" s="34">
        <v>1341704</v>
      </c>
      <c r="F44" s="34">
        <v>1738710</v>
      </c>
      <c r="G44" s="34">
        <v>1582947</v>
      </c>
      <c r="H44" s="34">
        <v>1665574</v>
      </c>
      <c r="I44" s="34">
        <v>1579946</v>
      </c>
      <c r="J44" s="34">
        <v>1520076</v>
      </c>
      <c r="K44" s="34">
        <v>1536668</v>
      </c>
      <c r="L44" s="34">
        <v>1624949</v>
      </c>
      <c r="M44" s="34">
        <v>1405588</v>
      </c>
      <c r="N44" s="34">
        <v>1300401</v>
      </c>
      <c r="O44" s="35">
        <v>1446037</v>
      </c>
      <c r="P44" t="s">
        <v>38</v>
      </c>
      <c r="AA44" s="77"/>
    </row>
    <row r="45" spans="1:45" x14ac:dyDescent="0.3">
      <c r="A45" s="28" t="s">
        <v>31</v>
      </c>
      <c r="B45" s="29" t="s">
        <v>25</v>
      </c>
      <c r="C45" s="36">
        <v>159336</v>
      </c>
      <c r="D45" s="36">
        <v>136647</v>
      </c>
      <c r="E45" s="36">
        <v>192122</v>
      </c>
      <c r="F45" s="36">
        <v>243092</v>
      </c>
      <c r="G45" s="36">
        <v>133502</v>
      </c>
      <c r="H45" s="36">
        <v>162782</v>
      </c>
      <c r="I45" s="36">
        <v>152312</v>
      </c>
      <c r="J45" s="36">
        <v>143596</v>
      </c>
      <c r="K45" s="36">
        <v>167217</v>
      </c>
      <c r="L45" s="36">
        <v>154029</v>
      </c>
      <c r="M45" s="36">
        <v>131395</v>
      </c>
      <c r="N45" s="36">
        <v>214465</v>
      </c>
      <c r="O45" s="37">
        <v>137243</v>
      </c>
      <c r="AA45" s="77"/>
    </row>
    <row r="46" spans="1:45" x14ac:dyDescent="0.3">
      <c r="A46" s="28"/>
      <c r="B46" s="29" t="s">
        <v>26</v>
      </c>
      <c r="C46" s="36">
        <v>673882</v>
      </c>
      <c r="D46" s="36">
        <v>698402</v>
      </c>
      <c r="E46" s="36">
        <v>614732</v>
      </c>
      <c r="F46" s="36">
        <v>525341</v>
      </c>
      <c r="G46" s="36">
        <v>688177</v>
      </c>
      <c r="H46" s="36">
        <v>609951</v>
      </c>
      <c r="I46" s="36">
        <v>564783</v>
      </c>
      <c r="J46" s="36">
        <v>524504</v>
      </c>
      <c r="K46" s="36">
        <v>418942</v>
      </c>
      <c r="L46" s="36">
        <v>373203</v>
      </c>
      <c r="M46" s="36">
        <v>400640</v>
      </c>
      <c r="N46" s="36">
        <v>302687</v>
      </c>
      <c r="O46" s="37">
        <v>333087</v>
      </c>
      <c r="AA46" s="77"/>
    </row>
    <row r="47" spans="1:45" x14ac:dyDescent="0.3">
      <c r="A47" s="30"/>
      <c r="B47" s="41" t="s">
        <v>47</v>
      </c>
      <c r="C47" s="32">
        <f t="shared" ref="C47:O47" si="2">(C44+C45-C46)*1000/C2</f>
        <v>20.031853620877865</v>
      </c>
      <c r="D47" s="32">
        <f t="shared" si="2"/>
        <v>19.526720830950278</v>
      </c>
      <c r="E47" s="32">
        <f t="shared" si="2"/>
        <v>14.502247231841229</v>
      </c>
      <c r="F47" s="32">
        <f t="shared" si="2"/>
        <v>22.865146265106375</v>
      </c>
      <c r="G47" s="32">
        <f t="shared" si="2"/>
        <v>16.059734405398341</v>
      </c>
      <c r="H47" s="32">
        <f t="shared" si="2"/>
        <v>18.948513892225421</v>
      </c>
      <c r="I47" s="32">
        <f t="shared" si="2"/>
        <v>18.109149617694094</v>
      </c>
      <c r="J47" s="32">
        <f t="shared" si="2"/>
        <v>17.623503706338386</v>
      </c>
      <c r="K47" s="32">
        <f t="shared" si="2"/>
        <v>19.815900728080827</v>
      </c>
      <c r="L47" s="32">
        <f t="shared" si="2"/>
        <v>21.5951581497871</v>
      </c>
      <c r="M47" s="32">
        <f t="shared" si="2"/>
        <v>17.410107690380052</v>
      </c>
      <c r="N47" s="32">
        <f t="shared" si="2"/>
        <v>18.505076840220333</v>
      </c>
      <c r="O47" s="33">
        <f t="shared" si="2"/>
        <v>19.022491932703456</v>
      </c>
      <c r="AA47" s="77"/>
    </row>
    <row r="48" spans="1:45" x14ac:dyDescent="0.3">
      <c r="A48" s="171" t="s">
        <v>24</v>
      </c>
      <c r="B48" s="172" t="s">
        <v>27</v>
      </c>
      <c r="C48" s="96">
        <f>'Calcul Fr métro'!C207</f>
        <v>143488.80000000002</v>
      </c>
      <c r="D48" s="96">
        <f>'Calcul Fr métro'!D207</f>
        <v>148859.19999999998</v>
      </c>
      <c r="E48" s="96">
        <f>'Calcul Fr métro'!E207</f>
        <v>174483.19999999998</v>
      </c>
      <c r="F48" s="96">
        <f>'Calcul Fr métro'!F207</f>
        <v>127197</v>
      </c>
      <c r="G48" s="96">
        <f>'Calcul Fr métro'!G207</f>
        <v>173058.6</v>
      </c>
      <c r="H48" s="96">
        <f>'Calcul Fr métro'!H207</f>
        <v>157027.19999999998</v>
      </c>
      <c r="I48" s="96">
        <f>'Calcul Fr métro'!I207</f>
        <v>112167.3</v>
      </c>
      <c r="J48" s="96">
        <f>'Calcul Fr métro'!J207</f>
        <v>156689</v>
      </c>
      <c r="K48" s="96">
        <f>'Calcul Fr métro'!K207</f>
        <v>111384.4</v>
      </c>
      <c r="L48" s="96">
        <f>'Calcul Fr métro'!L207</f>
        <v>136978.6</v>
      </c>
      <c r="M48" s="96">
        <f>'Calcul Fr métro'!M207</f>
        <v>85796.4</v>
      </c>
      <c r="N48" s="96">
        <f>'Calcul Fr métro'!N207</f>
        <v>54657.2</v>
      </c>
      <c r="O48" s="96">
        <f>'Calcul Fr métro'!O207</f>
        <v>128356.70000000001</v>
      </c>
      <c r="AA48" s="77"/>
    </row>
    <row r="49" spans="1:45" x14ac:dyDescent="0.3">
      <c r="A49" s="24" t="s">
        <v>31</v>
      </c>
      <c r="B49" s="160" t="s">
        <v>25</v>
      </c>
      <c r="C49" s="36">
        <v>11008</v>
      </c>
      <c r="D49" s="36">
        <v>10755</v>
      </c>
      <c r="E49" s="36">
        <v>15301</v>
      </c>
      <c r="F49" s="36">
        <v>20428</v>
      </c>
      <c r="G49" s="36">
        <v>16621</v>
      </c>
      <c r="H49" s="36">
        <v>18997</v>
      </c>
      <c r="I49" s="36">
        <v>18319</v>
      </c>
      <c r="J49" s="36">
        <v>18672</v>
      </c>
      <c r="K49" s="36">
        <v>22585</v>
      </c>
      <c r="L49" s="36">
        <v>17039</v>
      </c>
      <c r="M49" s="36">
        <v>21256</v>
      </c>
      <c r="N49" s="36">
        <v>18582</v>
      </c>
      <c r="O49" s="37">
        <v>11554</v>
      </c>
      <c r="AA49" s="77"/>
    </row>
    <row r="50" spans="1:45" x14ac:dyDescent="0.3">
      <c r="A50" s="24"/>
      <c r="B50" s="160" t="s">
        <v>26</v>
      </c>
      <c r="C50" s="36">
        <v>47875</v>
      </c>
      <c r="D50" s="36">
        <v>48751</v>
      </c>
      <c r="E50" s="36">
        <v>58668</v>
      </c>
      <c r="F50" s="36">
        <v>45798</v>
      </c>
      <c r="G50" s="36">
        <v>65316</v>
      </c>
      <c r="H50" s="36">
        <v>53103</v>
      </c>
      <c r="I50" s="36">
        <v>42318</v>
      </c>
      <c r="J50" s="36">
        <v>56412</v>
      </c>
      <c r="K50" s="36">
        <v>28275</v>
      </c>
      <c r="L50" s="36">
        <v>21799</v>
      </c>
      <c r="M50" s="36">
        <v>11462</v>
      </c>
      <c r="N50" s="36">
        <v>13911</v>
      </c>
      <c r="O50" s="37">
        <v>14564</v>
      </c>
      <c r="AA50" s="77"/>
    </row>
    <row r="51" spans="1:45" x14ac:dyDescent="0.3">
      <c r="A51" s="25"/>
      <c r="B51" s="99" t="s">
        <v>47</v>
      </c>
      <c r="C51" s="93">
        <f t="shared" ref="C51:O51" si="3">(C48+C49-C50)*1000/C2</f>
        <v>1.6987397561723463</v>
      </c>
      <c r="D51" s="93">
        <f t="shared" si="3"/>
        <v>1.7577706568399245</v>
      </c>
      <c r="E51" s="93">
        <f t="shared" si="3"/>
        <v>2.0688629764741591</v>
      </c>
      <c r="F51" s="93">
        <f t="shared" si="3"/>
        <v>1.5985936106335745</v>
      </c>
      <c r="G51" s="93">
        <f t="shared" si="3"/>
        <v>1.9423327540759616</v>
      </c>
      <c r="H51" s="93">
        <f t="shared" si="3"/>
        <v>1.9116583285927249</v>
      </c>
      <c r="I51" s="93">
        <f t="shared" si="3"/>
        <v>1.3676120998203285</v>
      </c>
      <c r="J51" s="93">
        <f t="shared" si="3"/>
        <v>1.8402010435381304</v>
      </c>
      <c r="K51" s="93">
        <f t="shared" si="3"/>
        <v>1.6299787133857813</v>
      </c>
      <c r="L51" s="93">
        <f t="shared" si="3"/>
        <v>2.0311085183215241</v>
      </c>
      <c r="M51" s="93">
        <f t="shared" si="3"/>
        <v>1.4645570555426535</v>
      </c>
      <c r="N51" s="93">
        <f t="shared" si="3"/>
        <v>0.90570196298728167</v>
      </c>
      <c r="O51" s="94">
        <f t="shared" si="3"/>
        <v>1.9072307951980221</v>
      </c>
      <c r="AA51" s="77"/>
    </row>
    <row r="52" spans="1:45" x14ac:dyDescent="0.3">
      <c r="A52" s="268" t="s">
        <v>28</v>
      </c>
      <c r="B52" s="269" t="s">
        <v>27</v>
      </c>
      <c r="C52" s="259">
        <v>300431</v>
      </c>
      <c r="D52" s="259">
        <v>287059</v>
      </c>
      <c r="E52" s="259">
        <v>274078</v>
      </c>
      <c r="F52" s="259">
        <v>244213</v>
      </c>
      <c r="G52" s="259">
        <v>262941</v>
      </c>
      <c r="H52" s="259">
        <v>253764</v>
      </c>
      <c r="I52" s="259">
        <v>251253</v>
      </c>
      <c r="J52" s="259">
        <v>272298</v>
      </c>
      <c r="K52" s="259">
        <v>232027</v>
      </c>
      <c r="L52" s="259">
        <v>256728</v>
      </c>
      <c r="M52" s="259">
        <v>234092</v>
      </c>
      <c r="N52" s="259">
        <v>175835</v>
      </c>
      <c r="O52" s="260">
        <v>228969</v>
      </c>
      <c r="AA52" s="77"/>
    </row>
    <row r="53" spans="1:45" x14ac:dyDescent="0.3">
      <c r="A53" s="270" t="s">
        <v>8</v>
      </c>
      <c r="B53" s="242" t="s">
        <v>25</v>
      </c>
      <c r="C53" s="262">
        <v>116094</v>
      </c>
      <c r="D53" s="262">
        <v>116239</v>
      </c>
      <c r="E53" s="262">
        <v>127634</v>
      </c>
      <c r="F53" s="262">
        <v>146947</v>
      </c>
      <c r="G53" s="262">
        <v>143980</v>
      </c>
      <c r="H53" s="262">
        <v>161784</v>
      </c>
      <c r="I53" s="262">
        <v>166460</v>
      </c>
      <c r="J53" s="262">
        <v>166119</v>
      </c>
      <c r="K53" s="262">
        <v>156117</v>
      </c>
      <c r="L53" s="262">
        <v>156026</v>
      </c>
      <c r="M53" s="262">
        <v>134962</v>
      </c>
      <c r="N53" s="262">
        <v>137378</v>
      </c>
      <c r="O53" s="263">
        <v>113755</v>
      </c>
      <c r="AA53" s="77"/>
    </row>
    <row r="54" spans="1:45" x14ac:dyDescent="0.3">
      <c r="A54" s="270" t="s">
        <v>33</v>
      </c>
      <c r="B54" s="242" t="s">
        <v>26</v>
      </c>
      <c r="C54" s="262">
        <v>48358</v>
      </c>
      <c r="D54" s="262">
        <v>43983</v>
      </c>
      <c r="E54" s="262">
        <v>47369</v>
      </c>
      <c r="F54" s="262">
        <v>44455</v>
      </c>
      <c r="G54" s="262">
        <v>44042</v>
      </c>
      <c r="H54" s="262">
        <v>46810</v>
      </c>
      <c r="I54" s="262">
        <v>41829</v>
      </c>
      <c r="J54" s="262">
        <v>43974</v>
      </c>
      <c r="K54" s="262">
        <v>25703</v>
      </c>
      <c r="L54" s="262">
        <v>29559</v>
      </c>
      <c r="M54" s="262">
        <v>26697</v>
      </c>
      <c r="N54" s="262">
        <v>25610</v>
      </c>
      <c r="O54" s="263">
        <v>32940</v>
      </c>
      <c r="AA54" s="77"/>
    </row>
    <row r="55" spans="1:45" x14ac:dyDescent="0.3">
      <c r="A55" s="264"/>
      <c r="B55" s="265" t="s">
        <v>47</v>
      </c>
      <c r="C55" s="266">
        <f t="shared" ref="C55:O55" si="4">(C52+C53-C54)*1000/C2</f>
        <v>5.8657790415346964</v>
      </c>
      <c r="D55" s="266">
        <f t="shared" si="4"/>
        <v>5.6970515334433562</v>
      </c>
      <c r="E55" s="266">
        <f t="shared" si="4"/>
        <v>5.5911253809428816</v>
      </c>
      <c r="F55" s="266">
        <f t="shared" si="4"/>
        <v>5.4429610788367864</v>
      </c>
      <c r="G55" s="266">
        <f t="shared" si="4"/>
        <v>5.6675085593077945</v>
      </c>
      <c r="H55" s="266">
        <f t="shared" si="4"/>
        <v>5.7345768571135354</v>
      </c>
      <c r="I55" s="266">
        <f t="shared" si="4"/>
        <v>5.8304799630804309</v>
      </c>
      <c r="J55" s="266">
        <f t="shared" si="4"/>
        <v>6.1022322189872193</v>
      </c>
      <c r="K55" s="266">
        <f t="shared" si="4"/>
        <v>5.5894268273272374</v>
      </c>
      <c r="L55" s="266">
        <f t="shared" si="4"/>
        <v>5.8865441675998413</v>
      </c>
      <c r="M55" s="266">
        <f t="shared" si="4"/>
        <v>5.2453108247733686</v>
      </c>
      <c r="N55" s="266">
        <f t="shared" si="4"/>
        <v>4.3905360631374482</v>
      </c>
      <c r="O55" s="267">
        <f t="shared" si="4"/>
        <v>4.7135631385558936</v>
      </c>
    </row>
    <row r="56" spans="1:45" x14ac:dyDescent="0.3">
      <c r="A56" s="268" t="s">
        <v>9</v>
      </c>
      <c r="B56" s="269" t="s">
        <v>27</v>
      </c>
      <c r="C56" s="259">
        <v>146694</v>
      </c>
      <c r="D56" s="259">
        <v>164215</v>
      </c>
      <c r="E56" s="259">
        <v>119854</v>
      </c>
      <c r="F56" s="259">
        <v>149291</v>
      </c>
      <c r="G56" s="259">
        <v>138442</v>
      </c>
      <c r="H56" s="259">
        <v>150171</v>
      </c>
      <c r="I56" s="259">
        <v>139032</v>
      </c>
      <c r="J56" s="259">
        <v>140663</v>
      </c>
      <c r="K56" s="259">
        <v>141584</v>
      </c>
      <c r="L56" s="259">
        <v>134357</v>
      </c>
      <c r="M56" s="259">
        <v>150663</v>
      </c>
      <c r="N56" s="259">
        <v>69073</v>
      </c>
      <c r="O56" s="260">
        <v>142717</v>
      </c>
      <c r="P56" t="s">
        <v>39</v>
      </c>
    </row>
    <row r="57" spans="1:45" x14ac:dyDescent="0.3">
      <c r="A57" s="270" t="s">
        <v>31</v>
      </c>
      <c r="B57" s="242" t="s">
        <v>25</v>
      </c>
      <c r="C57" s="262">
        <v>199677</v>
      </c>
      <c r="D57" s="262">
        <v>146175</v>
      </c>
      <c r="E57" s="262">
        <v>107671</v>
      </c>
      <c r="F57" s="262">
        <v>108634</v>
      </c>
      <c r="G57" s="262">
        <v>104160</v>
      </c>
      <c r="H57" s="262">
        <v>88214</v>
      </c>
      <c r="I57" s="262">
        <v>99175</v>
      </c>
      <c r="J57" s="262">
        <v>94948</v>
      </c>
      <c r="K57" s="262">
        <v>93857</v>
      </c>
      <c r="L57" s="262">
        <v>96038</v>
      </c>
      <c r="M57" s="262">
        <v>99278</v>
      </c>
      <c r="N57" s="262">
        <v>109412</v>
      </c>
      <c r="O57" s="263">
        <v>100319</v>
      </c>
    </row>
    <row r="58" spans="1:45" x14ac:dyDescent="0.3">
      <c r="A58" s="270"/>
      <c r="B58" s="242" t="s">
        <v>26</v>
      </c>
      <c r="C58" s="262">
        <v>38021</v>
      </c>
      <c r="D58" s="262">
        <v>31310</v>
      </c>
      <c r="E58" s="262">
        <v>21017</v>
      </c>
      <c r="F58" s="262">
        <v>24904</v>
      </c>
      <c r="G58" s="262">
        <v>18834</v>
      </c>
      <c r="H58" s="262">
        <v>18875</v>
      </c>
      <c r="I58" s="262">
        <v>11182</v>
      </c>
      <c r="J58" s="262">
        <v>12233</v>
      </c>
      <c r="K58" s="262">
        <v>6878</v>
      </c>
      <c r="L58" s="262">
        <v>6684</v>
      </c>
      <c r="M58" s="262">
        <v>13083</v>
      </c>
      <c r="N58" s="262">
        <v>6050</v>
      </c>
      <c r="O58" s="263">
        <v>11548</v>
      </c>
    </row>
    <row r="59" spans="1:45" x14ac:dyDescent="0.3">
      <c r="A59" s="270"/>
      <c r="B59" s="242" t="s">
        <v>47</v>
      </c>
      <c r="C59" s="355">
        <f t="shared" ref="C59:O59" si="5">(C56+C57-C58)*1000/C2</f>
        <v>4.9127514618562333</v>
      </c>
      <c r="D59" s="355">
        <f t="shared" si="5"/>
        <v>4.42490055231029</v>
      </c>
      <c r="E59" s="355">
        <f t="shared" si="5"/>
        <v>3.2584589512640365</v>
      </c>
      <c r="F59" s="355">
        <f t="shared" si="5"/>
        <v>3.6582230817312325</v>
      </c>
      <c r="G59" s="355">
        <f t="shared" si="5"/>
        <v>3.4948482973640984</v>
      </c>
      <c r="H59" s="355">
        <f t="shared" si="5"/>
        <v>3.4137977802802859</v>
      </c>
      <c r="I59" s="355">
        <f t="shared" si="5"/>
        <v>3.521471287999316</v>
      </c>
      <c r="J59" s="355">
        <f t="shared" si="5"/>
        <v>3.4557703612763495</v>
      </c>
      <c r="K59" s="355">
        <f t="shared" si="5"/>
        <v>3.5248113870516731</v>
      </c>
      <c r="L59" s="355">
        <f t="shared" si="5"/>
        <v>3.4365915063555845</v>
      </c>
      <c r="M59" s="355">
        <f t="shared" si="5"/>
        <v>3.6289423944425572</v>
      </c>
      <c r="N59" s="355">
        <f t="shared" si="5"/>
        <v>2.6323859140798458</v>
      </c>
      <c r="O59" s="356">
        <f t="shared" si="5"/>
        <v>3.522239056303833</v>
      </c>
    </row>
    <row r="60" spans="1:45" s="7" customFormat="1" x14ac:dyDescent="0.3">
      <c r="A60" s="95" t="s">
        <v>23</v>
      </c>
      <c r="B60" s="96" t="s">
        <v>27</v>
      </c>
      <c r="C60" s="95">
        <f>'Calcul Fr métro'!C172</f>
        <v>129165</v>
      </c>
      <c r="D60" s="96">
        <f>'Calcul Fr métro'!D172</f>
        <v>140695.80000000002</v>
      </c>
      <c r="E60" s="96">
        <f>'Calcul Fr métro'!E172</f>
        <v>146822.5</v>
      </c>
      <c r="F60" s="96">
        <f>'Calcul Fr métro'!F172</f>
        <v>141680.4</v>
      </c>
      <c r="G60" s="96">
        <f>'Calcul Fr métro'!G172</f>
        <v>158975.29999999999</v>
      </c>
      <c r="H60" s="96">
        <f>'Calcul Fr métro'!H172</f>
        <v>153562.5</v>
      </c>
      <c r="I60" s="96">
        <f>'Calcul Fr métro'!I172</f>
        <v>171884</v>
      </c>
      <c r="J60" s="96">
        <f>'Calcul Fr métro'!J172</f>
        <v>165375</v>
      </c>
      <c r="K60" s="96">
        <f>'Calcul Fr métro'!K172</f>
        <v>159096</v>
      </c>
      <c r="L60" s="96">
        <f>'Calcul Fr métro'!L172</f>
        <v>173737.40000000002</v>
      </c>
      <c r="M60" s="96">
        <f>'Calcul Fr métro'!M172</f>
        <v>192677.1</v>
      </c>
      <c r="N60" s="96">
        <f>'Calcul Fr métro'!N172</f>
        <v>182931</v>
      </c>
      <c r="O60" s="96">
        <f>'Calcul Fr métro'!O172</f>
        <v>148336</v>
      </c>
      <c r="P60" s="354">
        <f>'Calcul Fr métro'!P172</f>
        <v>142112.79999999999</v>
      </c>
      <c r="Q60" s="352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</row>
    <row r="61" spans="1:45" s="7" customFormat="1" x14ac:dyDescent="0.3">
      <c r="A61" s="97" t="s">
        <v>31</v>
      </c>
      <c r="B61" s="98" t="s">
        <v>25</v>
      </c>
      <c r="C61" s="39">
        <v>143706</v>
      </c>
      <c r="D61" s="36">
        <v>143052</v>
      </c>
      <c r="E61" s="36">
        <v>134172</v>
      </c>
      <c r="F61" s="36">
        <v>137823</v>
      </c>
      <c r="G61" s="36">
        <v>133482</v>
      </c>
      <c r="H61" s="36">
        <v>127394</v>
      </c>
      <c r="I61" s="36">
        <v>148811</v>
      </c>
      <c r="J61" s="36">
        <v>135099</v>
      </c>
      <c r="K61" s="36">
        <v>143793</v>
      </c>
      <c r="L61" s="36">
        <v>151221</v>
      </c>
      <c r="M61" s="36">
        <v>154629</v>
      </c>
      <c r="N61" s="36">
        <v>149057</v>
      </c>
      <c r="O61" s="36">
        <v>135228</v>
      </c>
      <c r="P61" s="37">
        <v>145286</v>
      </c>
      <c r="R61" s="352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</row>
    <row r="62" spans="1:45" s="7" customFormat="1" x14ac:dyDescent="0.3">
      <c r="A62" s="97"/>
      <c r="B62" s="98" t="s">
        <v>26</v>
      </c>
      <c r="C62" s="39">
        <v>21039</v>
      </c>
      <c r="D62" s="36">
        <v>21150</v>
      </c>
      <c r="E62" s="36">
        <v>19595</v>
      </c>
      <c r="F62" s="36">
        <v>22780</v>
      </c>
      <c r="G62" s="36">
        <v>22455</v>
      </c>
      <c r="H62" s="36">
        <v>21381</v>
      </c>
      <c r="I62" s="36">
        <v>24362</v>
      </c>
      <c r="J62" s="36">
        <v>22992</v>
      </c>
      <c r="K62" s="36">
        <v>20016</v>
      </c>
      <c r="L62" s="36">
        <v>25482</v>
      </c>
      <c r="M62" s="36">
        <v>23241</v>
      </c>
      <c r="N62" s="36">
        <v>25510</v>
      </c>
      <c r="O62" s="36">
        <v>24331</v>
      </c>
      <c r="P62" s="37">
        <v>26502</v>
      </c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</row>
    <row r="63" spans="1:45" x14ac:dyDescent="0.3">
      <c r="A63" s="24"/>
      <c r="B63" s="160" t="s">
        <v>47</v>
      </c>
      <c r="C63" s="357">
        <f t="shared" ref="C63:P63" si="6">(C60+C61-C62)*1000/C2</f>
        <v>4.0122848261461934</v>
      </c>
      <c r="D63" s="170">
        <f t="shared" si="6"/>
        <v>4.1635701241775385</v>
      </c>
      <c r="E63" s="170">
        <f t="shared" si="6"/>
        <v>4.1245837479949614</v>
      </c>
      <c r="F63" s="170">
        <f t="shared" si="6"/>
        <v>4.0303297449608406</v>
      </c>
      <c r="G63" s="170">
        <f t="shared" si="6"/>
        <v>4.2169437919603805</v>
      </c>
      <c r="H63" s="170">
        <f t="shared" si="6"/>
        <v>4.0368924682936784</v>
      </c>
      <c r="I63" s="170">
        <f t="shared" si="6"/>
        <v>4.5965340873767264</v>
      </c>
      <c r="J63" s="170">
        <f t="shared" si="6"/>
        <v>4.2927865384580572</v>
      </c>
      <c r="K63" s="170">
        <f t="shared" si="6"/>
        <v>4.3623594872725153</v>
      </c>
      <c r="L63" s="170">
        <f t="shared" si="6"/>
        <v>4.6004803187771168</v>
      </c>
      <c r="M63" s="170">
        <f t="shared" si="6"/>
        <v>4.9650574603740072</v>
      </c>
      <c r="N63" s="170">
        <f t="shared" si="6"/>
        <v>4.678681069245588</v>
      </c>
      <c r="O63" s="170">
        <f t="shared" si="6"/>
        <v>3.94439710603924</v>
      </c>
      <c r="P63" s="353">
        <f t="shared" si="6"/>
        <v>3.9574212653494727</v>
      </c>
    </row>
    <row r="64" spans="1:45" x14ac:dyDescent="0.3">
      <c r="A64" s="25"/>
      <c r="B64" s="99" t="s">
        <v>376</v>
      </c>
      <c r="C64" s="358">
        <f t="shared" ref="C64:P64" si="7">C61/(C60+C61-C62)</f>
        <v>0.570642332983894</v>
      </c>
      <c r="D64" s="359">
        <f t="shared" si="7"/>
        <v>0.54475703909172113</v>
      </c>
      <c r="E64" s="359">
        <f t="shared" si="7"/>
        <v>0.51328330773394748</v>
      </c>
      <c r="F64" s="359">
        <f t="shared" si="7"/>
        <v>0.53685406160871973</v>
      </c>
      <c r="G64" s="359">
        <f t="shared" si="7"/>
        <v>0.49437356644739694</v>
      </c>
      <c r="H64" s="359">
        <f t="shared" si="7"/>
        <v>0.49077821288989137</v>
      </c>
      <c r="I64" s="359">
        <f t="shared" si="7"/>
        <v>0.50217491808202264</v>
      </c>
      <c r="J64" s="359">
        <f t="shared" si="7"/>
        <v>0.48687482431292839</v>
      </c>
      <c r="K64" s="359">
        <f t="shared" si="7"/>
        <v>0.5083305935879352</v>
      </c>
      <c r="L64" s="359">
        <f t="shared" si="7"/>
        <v>0.50495130835017377</v>
      </c>
      <c r="M64" s="359">
        <f t="shared" si="7"/>
        <v>0.47715412736514984</v>
      </c>
      <c r="N64" s="359">
        <f t="shared" si="7"/>
        <v>0.48635464862078193</v>
      </c>
      <c r="O64" s="359">
        <f t="shared" si="7"/>
        <v>0.52164654962909818</v>
      </c>
      <c r="P64" s="360">
        <f t="shared" si="7"/>
        <v>0.55687152927900996</v>
      </c>
    </row>
    <row r="65" spans="1:45" s="7" customFormat="1" x14ac:dyDescent="0.3">
      <c r="A65" s="261" t="s">
        <v>12</v>
      </c>
      <c r="B65" s="262" t="s">
        <v>27</v>
      </c>
      <c r="C65" s="262">
        <v>808757</v>
      </c>
      <c r="D65" s="262">
        <v>769817</v>
      </c>
      <c r="E65" s="262">
        <v>773044</v>
      </c>
      <c r="F65" s="262">
        <v>708352</v>
      </c>
      <c r="G65" s="262">
        <v>770613</v>
      </c>
      <c r="H65" s="262">
        <v>772593</v>
      </c>
      <c r="I65" s="262">
        <v>814124</v>
      </c>
      <c r="J65" s="262">
        <v>797506</v>
      </c>
      <c r="K65" s="262">
        <v>706427</v>
      </c>
      <c r="L65" s="262">
        <v>709234</v>
      </c>
      <c r="M65" s="262">
        <v>675311</v>
      </c>
      <c r="N65" s="262">
        <v>699462</v>
      </c>
      <c r="O65" s="263">
        <v>685855</v>
      </c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</row>
    <row r="66" spans="1:45" s="7" customFormat="1" x14ac:dyDescent="0.3">
      <c r="A66" s="261" t="s">
        <v>31</v>
      </c>
      <c r="B66" s="262" t="s">
        <v>25</v>
      </c>
      <c r="C66" s="262">
        <v>883485</v>
      </c>
      <c r="D66" s="262">
        <v>890886</v>
      </c>
      <c r="E66" s="262">
        <v>920569</v>
      </c>
      <c r="F66" s="262">
        <v>945646</v>
      </c>
      <c r="G66" s="262">
        <v>953235</v>
      </c>
      <c r="H66" s="262">
        <v>937865</v>
      </c>
      <c r="I66" s="262">
        <v>938581</v>
      </c>
      <c r="J66" s="262">
        <v>920094</v>
      </c>
      <c r="K66" s="262">
        <v>943094</v>
      </c>
      <c r="L66" s="262">
        <v>936778</v>
      </c>
      <c r="M66" s="262">
        <v>927984</v>
      </c>
      <c r="N66" s="262">
        <v>929278</v>
      </c>
      <c r="O66" s="263">
        <v>1005900</v>
      </c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</row>
    <row r="67" spans="1:45" s="7" customFormat="1" x14ac:dyDescent="0.3">
      <c r="A67" s="261"/>
      <c r="B67" s="262" t="s">
        <v>26</v>
      </c>
      <c r="C67" s="262">
        <v>225521</v>
      </c>
      <c r="D67" s="262">
        <v>247318</v>
      </c>
      <c r="E67" s="262">
        <v>256508</v>
      </c>
      <c r="F67" s="262">
        <v>268569</v>
      </c>
      <c r="G67" s="262">
        <v>282822</v>
      </c>
      <c r="H67" s="262">
        <v>271663</v>
      </c>
      <c r="I67" s="262">
        <v>275897</v>
      </c>
      <c r="J67" s="262">
        <v>258793</v>
      </c>
      <c r="K67" s="262">
        <v>253276</v>
      </c>
      <c r="L67" s="262">
        <v>268766</v>
      </c>
      <c r="M67" s="262">
        <v>282457</v>
      </c>
      <c r="N67" s="262">
        <v>301099</v>
      </c>
      <c r="O67" s="263">
        <v>359501</v>
      </c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</row>
    <row r="68" spans="1:45" x14ac:dyDescent="0.3">
      <c r="A68" s="264"/>
      <c r="B68" s="265" t="s">
        <v>47</v>
      </c>
      <c r="C68" s="266">
        <f>(C65+C66-C67)*1000/$C$2</f>
        <v>23.368366261992009</v>
      </c>
      <c r="D68" s="266">
        <f>(D65+D66-D67)*1000/$D$2</f>
        <v>22.409660552985091</v>
      </c>
      <c r="E68" s="266">
        <f>(E65+E66-E67)*1000/$E$2</f>
        <v>22.675865589499214</v>
      </c>
      <c r="F68" s="266">
        <f>(F65+F66-F67)*1000/$F$2</f>
        <v>21.750006848738181</v>
      </c>
      <c r="G68" s="266">
        <f>(G65+G66-G67)*1000/$G$2</f>
        <v>22.506199557387102</v>
      </c>
      <c r="H68" s="266">
        <f>(H65+H66-H67)*1000/$H$2</f>
        <v>22.375997345352712</v>
      </c>
      <c r="I68" s="266">
        <f>(I65+I66-I67)*1000/$I$2</f>
        <v>22.907331659014179</v>
      </c>
      <c r="J68" s="266">
        <f>(J65+J66-J67)*1000/$J$2</f>
        <v>22.568480304338241</v>
      </c>
      <c r="K68" s="266">
        <f>(K65+K66-K67)*1000/$K$2</f>
        <v>21.53235770931412</v>
      </c>
      <c r="L68" s="266">
        <f>(L65+L66-L67)*1000/$L$2</f>
        <v>21.156902904918415</v>
      </c>
      <c r="M68" s="266">
        <f>(M65+M66-M67)*1000/$M$2</f>
        <v>20.23678750302172</v>
      </c>
      <c r="N68" s="266">
        <f>(N65+N66-N67)*1000/$N$2</f>
        <v>20.26771518169096</v>
      </c>
      <c r="O68" s="267">
        <f>(O65+O66-O67)*1000/$O$2</f>
        <v>20.271102915559368</v>
      </c>
    </row>
    <row r="69" spans="1:45" s="7" customFormat="1" x14ac:dyDescent="0.3">
      <c r="A69" s="95" t="s">
        <v>21</v>
      </c>
      <c r="B69" s="96" t="s">
        <v>27</v>
      </c>
      <c r="C69" s="96">
        <f>'Calcul Fr métro'!C179</f>
        <v>420614.19999999995</v>
      </c>
      <c r="D69" s="96">
        <f>'Calcul Fr métro'!D179</f>
        <v>409769.99999999994</v>
      </c>
      <c r="E69" s="96">
        <f>'Calcul Fr métro'!E179</f>
        <v>416232</v>
      </c>
      <c r="F69" s="96">
        <f>'Calcul Fr métro'!F179</f>
        <v>394285.2</v>
      </c>
      <c r="G69" s="96">
        <f>'Calcul Fr métro'!G179</f>
        <v>376127.5</v>
      </c>
      <c r="H69" s="96">
        <f>'Calcul Fr métro'!H179</f>
        <v>375122.7</v>
      </c>
      <c r="I69" s="96">
        <f>'Calcul Fr métro'!I179</f>
        <v>365473.99999999994</v>
      </c>
      <c r="J69" s="96">
        <f>'Calcul Fr métro'!J179</f>
        <v>344908.39999999997</v>
      </c>
      <c r="K69" s="96">
        <f>'Calcul Fr métro'!K179</f>
        <v>339007.4</v>
      </c>
      <c r="L69" s="96">
        <f>'Calcul Fr métro'!L179</f>
        <v>326396.40000000002</v>
      </c>
      <c r="M69" s="96">
        <f>'Calcul Fr métro'!M179</f>
        <v>307511.2</v>
      </c>
      <c r="N69" s="96">
        <f>'Calcul Fr métro'!N179</f>
        <v>291037.39999999997</v>
      </c>
      <c r="O69" s="96">
        <f>'Calcul Fr métro'!O179</f>
        <v>304377.2</v>
      </c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</row>
    <row r="70" spans="1:45" s="7" customFormat="1" x14ac:dyDescent="0.3">
      <c r="A70" s="97" t="s">
        <v>31</v>
      </c>
      <c r="B70" s="98" t="s">
        <v>25</v>
      </c>
      <c r="C70" s="36">
        <v>121539</v>
      </c>
      <c r="D70" s="36">
        <v>120841</v>
      </c>
      <c r="E70" s="36">
        <v>157275</v>
      </c>
      <c r="F70" s="36">
        <v>163369</v>
      </c>
      <c r="G70" s="36">
        <v>161129</v>
      </c>
      <c r="H70" s="36">
        <v>178652</v>
      </c>
      <c r="I70" s="36">
        <v>176947</v>
      </c>
      <c r="J70" s="36">
        <v>173526</v>
      </c>
      <c r="K70" s="36">
        <v>166883</v>
      </c>
      <c r="L70" s="36">
        <v>165245</v>
      </c>
      <c r="M70" s="36">
        <v>160559</v>
      </c>
      <c r="N70" s="36">
        <v>173864</v>
      </c>
      <c r="O70" s="37">
        <v>186260</v>
      </c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</row>
    <row r="71" spans="1:45" s="7" customFormat="1" x14ac:dyDescent="0.3">
      <c r="A71" s="97"/>
      <c r="B71" s="98" t="s">
        <v>26</v>
      </c>
      <c r="C71" s="36">
        <v>93066</v>
      </c>
      <c r="D71" s="36">
        <v>94263</v>
      </c>
      <c r="E71" s="36">
        <v>83705</v>
      </c>
      <c r="F71" s="36">
        <v>96702</v>
      </c>
      <c r="G71" s="36">
        <v>93789</v>
      </c>
      <c r="H71" s="36">
        <v>96038</v>
      </c>
      <c r="I71" s="36">
        <v>92187</v>
      </c>
      <c r="J71" s="36">
        <v>103558</v>
      </c>
      <c r="K71" s="36">
        <v>96177</v>
      </c>
      <c r="L71" s="36">
        <v>86485</v>
      </c>
      <c r="M71" s="36">
        <v>74202</v>
      </c>
      <c r="N71" s="36">
        <v>76650</v>
      </c>
      <c r="O71" s="37">
        <v>73032</v>
      </c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</row>
    <row r="72" spans="1:45" x14ac:dyDescent="0.3">
      <c r="A72" s="25"/>
      <c r="B72" s="99" t="s">
        <v>47</v>
      </c>
      <c r="C72" s="93">
        <f>(C69+C70-C71)*1000/$C$2</f>
        <v>7.1550309657886242</v>
      </c>
      <c r="D72" s="93">
        <f>(D69+D70-D71)*1000/$D$2</f>
        <v>6.918433804642004</v>
      </c>
      <c r="E72" s="93">
        <f>(E69+E70-E71)*1000/$E$2</f>
        <v>7.7285127513075897</v>
      </c>
      <c r="F72" s="93">
        <f>(F69+F70-F71)*1000/$F$2</f>
        <v>7.2365408165564098</v>
      </c>
      <c r="G72" s="93">
        <f>(G69+G70-G71)*1000/$G$2</f>
        <v>6.9261540403959154</v>
      </c>
      <c r="H72" s="93">
        <f>(H69+H70-H71)*1000/$H$2</f>
        <v>7.1186758253055578</v>
      </c>
      <c r="I72" s="93">
        <f>(I69+I70-I71)*1000/$I$2</f>
        <v>6.9837511458257202</v>
      </c>
      <c r="J72" s="93">
        <f>(J69+J70-J71)*1000/$J$2</f>
        <v>6.418347226284733</v>
      </c>
      <c r="K72" s="93">
        <f>(K69+K70-K71)*1000/$K$2</f>
        <v>6.3184437452591053</v>
      </c>
      <c r="L72" s="93">
        <f>(L69+L70-L71)*1000/$L$2</f>
        <v>6.2239096109963556</v>
      </c>
      <c r="M72" s="93">
        <f>(M69+M70-M71)*1000/$M$2</f>
        <v>6.0345228314128292</v>
      </c>
      <c r="N72" s="93">
        <f>(N69+N70-N71)*1000/$N$2</f>
        <v>5.92703057083411</v>
      </c>
      <c r="O72" s="94">
        <f>(O69+O70-O71)*1000/$O$2</f>
        <v>6.3541321604384393</v>
      </c>
    </row>
    <row r="73" spans="1:45" s="7" customFormat="1" x14ac:dyDescent="0.3">
      <c r="A73" s="95" t="s">
        <v>20</v>
      </c>
      <c r="B73" s="96" t="s">
        <v>27</v>
      </c>
      <c r="C73" s="96">
        <f>'Calcul Fr métro'!C193</f>
        <v>168544.80000000002</v>
      </c>
      <c r="D73" s="96">
        <f>'Calcul Fr métro'!D193</f>
        <v>169728</v>
      </c>
      <c r="E73" s="96">
        <f>'Calcul Fr métro'!E193</f>
        <v>158004</v>
      </c>
      <c r="F73" s="96">
        <f>'Calcul Fr métro'!F193</f>
        <v>167856</v>
      </c>
      <c r="G73" s="96">
        <f>'Calcul Fr métro'!G193</f>
        <v>173696</v>
      </c>
      <c r="H73" s="96">
        <f>'Calcul Fr métro'!H193</f>
        <v>169552.2</v>
      </c>
      <c r="I73" s="96">
        <f>'Calcul Fr métro'!I193</f>
        <v>163897</v>
      </c>
      <c r="J73" s="96">
        <f>'Calcul Fr métro'!J193</f>
        <v>171653.9</v>
      </c>
      <c r="K73" s="96">
        <f>'Calcul Fr métro'!K193</f>
        <v>166438.5</v>
      </c>
      <c r="L73" s="96">
        <f>'Calcul Fr métro'!L193</f>
        <v>165198.6</v>
      </c>
      <c r="M73" s="96">
        <f>'Calcul Fr métro'!M193</f>
        <v>166154.29999999999</v>
      </c>
      <c r="N73" s="96">
        <f>'Calcul Fr métro'!N193</f>
        <v>184779</v>
      </c>
      <c r="O73" s="96">
        <f>'Calcul Fr métro'!O193</f>
        <v>153467.6</v>
      </c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</row>
    <row r="74" spans="1:45" s="7" customFormat="1" x14ac:dyDescent="0.3">
      <c r="A74" s="97" t="s">
        <v>31</v>
      </c>
      <c r="B74" s="98" t="s">
        <v>25</v>
      </c>
      <c r="C74" s="36">
        <v>36233</v>
      </c>
      <c r="D74" s="36">
        <v>22977</v>
      </c>
      <c r="E74" s="36">
        <v>26416</v>
      </c>
      <c r="F74" s="36">
        <v>32551</v>
      </c>
      <c r="G74" s="36">
        <v>25071</v>
      </c>
      <c r="H74" s="36">
        <v>20500</v>
      </c>
      <c r="I74" s="36">
        <v>20238</v>
      </c>
      <c r="J74" s="36">
        <v>21581</v>
      </c>
      <c r="K74" s="36">
        <v>19824</v>
      </c>
      <c r="L74" s="36">
        <v>18801</v>
      </c>
      <c r="M74" s="36">
        <v>22969</v>
      </c>
      <c r="N74" s="36">
        <v>21778</v>
      </c>
      <c r="O74" s="37">
        <v>17113</v>
      </c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</row>
    <row r="75" spans="1:45" s="7" customFormat="1" x14ac:dyDescent="0.3">
      <c r="A75" s="97"/>
      <c r="B75" s="98" t="s">
        <v>26</v>
      </c>
      <c r="C75" s="36">
        <v>18877</v>
      </c>
      <c r="D75" s="36">
        <v>19483</v>
      </c>
      <c r="E75" s="36">
        <v>19225</v>
      </c>
      <c r="F75" s="36">
        <v>17866</v>
      </c>
      <c r="G75" s="36">
        <v>18033</v>
      </c>
      <c r="H75" s="36">
        <v>20884</v>
      </c>
      <c r="I75" s="36">
        <v>16925</v>
      </c>
      <c r="J75" s="36">
        <v>18269</v>
      </c>
      <c r="K75" s="36">
        <v>14992</v>
      </c>
      <c r="L75" s="36">
        <v>16262</v>
      </c>
      <c r="M75" s="36">
        <v>11019</v>
      </c>
      <c r="N75" s="36">
        <v>12092</v>
      </c>
      <c r="O75" s="37">
        <v>10241</v>
      </c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</row>
    <row r="76" spans="1:45" x14ac:dyDescent="0.3">
      <c r="A76" s="25"/>
      <c r="B76" s="99" t="s">
        <v>47</v>
      </c>
      <c r="C76" s="93">
        <f>(C73+C74-C75)*1000/$C$2</f>
        <v>2.961843447252289</v>
      </c>
      <c r="D76" s="93">
        <f>(D73+D74-D75)*1000/$D$2</f>
        <v>2.7464889045158847</v>
      </c>
      <c r="E76" s="93">
        <f>(E73+E74-E75)*1000/$E$2</f>
        <v>2.6065872821104388</v>
      </c>
      <c r="F76" s="93">
        <f>(F73+F74-F75)*1000/$F$2</f>
        <v>2.8657318420326963</v>
      </c>
      <c r="G76" s="93">
        <f>(G73+G74-G75)*1000/$G$2</f>
        <v>2.8227356555709617</v>
      </c>
      <c r="H76" s="93">
        <f>(H73+H74-H75)*1000/$H$2</f>
        <v>2.6308870924058652</v>
      </c>
      <c r="I76" s="93">
        <f>(I73+I74-I75)*1000/$I$2</f>
        <v>2.5936580291437754</v>
      </c>
      <c r="J76" s="93">
        <f>(J73+J74-J75)*1000/$J$2</f>
        <v>2.7068107488384783</v>
      </c>
      <c r="K76" s="93">
        <f>(K73+K74-K75)*1000/$K$2</f>
        <v>2.6412683096828165</v>
      </c>
      <c r="L76" s="93">
        <f>(L73+L74-L75)*1000/$L$2</f>
        <v>2.5767423660726134</v>
      </c>
      <c r="M76" s="93">
        <f>(M73+M74-M75)*1000/$M$2</f>
        <v>2.7287667923503345</v>
      </c>
      <c r="N76" s="93">
        <f>(N73+N74-N75)*1000/$N$2</f>
        <v>2.9686950258447369</v>
      </c>
      <c r="O76" s="94">
        <f>(O73+O74-O75)*1000/$O$2</f>
        <v>2.439670312898008</v>
      </c>
    </row>
    <row r="77" spans="1:45" s="7" customFormat="1" x14ac:dyDescent="0.3">
      <c r="A77" s="95" t="s">
        <v>135</v>
      </c>
      <c r="B77" s="96" t="s">
        <v>27</v>
      </c>
      <c r="C77" s="96">
        <f>'Calcul Fr métro'!C200</f>
        <v>622092.9</v>
      </c>
      <c r="D77" s="96">
        <f>'Calcul Fr métro'!D200</f>
        <v>629031.79999999993</v>
      </c>
      <c r="E77" s="96">
        <f>'Calcul Fr métro'!E200</f>
        <v>552735</v>
      </c>
      <c r="F77" s="96">
        <f>'Calcul Fr métro'!F200</f>
        <v>581692.79999999993</v>
      </c>
      <c r="G77" s="96">
        <f>'Calcul Fr métro'!G200</f>
        <v>566566</v>
      </c>
      <c r="H77" s="96">
        <f>'Calcul Fr métro'!H200</f>
        <v>591221.4</v>
      </c>
      <c r="I77" s="96">
        <f>'Calcul Fr métro'!I200</f>
        <v>593483.20000000007</v>
      </c>
      <c r="J77" s="96">
        <f>'Calcul Fr métro'!J200</f>
        <v>624010.5</v>
      </c>
      <c r="K77" s="96">
        <f>'Calcul Fr métro'!K200</f>
        <v>581357.5</v>
      </c>
      <c r="L77" s="96">
        <f>'Calcul Fr métro'!L200</f>
        <v>621732.60000000009</v>
      </c>
      <c r="M77" s="96">
        <f>'Calcul Fr métro'!M200</f>
        <v>648507.6</v>
      </c>
      <c r="N77" s="96">
        <f>'Calcul Fr métro'!N200</f>
        <v>705684</v>
      </c>
      <c r="O77" s="96">
        <f>'Calcul Fr métro'!O200</f>
        <v>616234.39999999991</v>
      </c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</row>
    <row r="78" spans="1:45" s="7" customFormat="1" x14ac:dyDescent="0.3">
      <c r="A78" s="97" t="s">
        <v>31</v>
      </c>
      <c r="B78" s="98" t="s">
        <v>25</v>
      </c>
      <c r="C78" s="36">
        <v>120437</v>
      </c>
      <c r="D78" s="36">
        <v>112296</v>
      </c>
      <c r="E78" s="36">
        <v>126665</v>
      </c>
      <c r="F78" s="36">
        <v>126561</v>
      </c>
      <c r="G78" s="36">
        <v>131047</v>
      </c>
      <c r="H78" s="36">
        <v>130757</v>
      </c>
      <c r="I78" s="36">
        <v>133248</v>
      </c>
      <c r="J78" s="36">
        <v>137974</v>
      </c>
      <c r="K78" s="36">
        <v>150940</v>
      </c>
      <c r="L78" s="36">
        <v>148603</v>
      </c>
      <c r="M78" s="36">
        <v>158206</v>
      </c>
      <c r="N78" s="36">
        <v>150847</v>
      </c>
      <c r="O78" s="37">
        <v>129720</v>
      </c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</row>
    <row r="79" spans="1:45" s="7" customFormat="1" x14ac:dyDescent="0.3">
      <c r="A79" s="97"/>
      <c r="B79" s="98" t="s">
        <v>26</v>
      </c>
      <c r="C79" s="36">
        <v>81970</v>
      </c>
      <c r="D79" s="36">
        <v>108198</v>
      </c>
      <c r="E79" s="36">
        <v>93177</v>
      </c>
      <c r="F79" s="36">
        <v>104521</v>
      </c>
      <c r="G79" s="36">
        <v>82786</v>
      </c>
      <c r="H79" s="36">
        <v>110793</v>
      </c>
      <c r="I79" s="36">
        <v>118526</v>
      </c>
      <c r="J79" s="36">
        <v>86905</v>
      </c>
      <c r="K79" s="36">
        <v>71759</v>
      </c>
      <c r="L79" s="36">
        <v>78780</v>
      </c>
      <c r="M79" s="36">
        <v>73660</v>
      </c>
      <c r="N79" s="36">
        <v>58576</v>
      </c>
      <c r="O79" s="37">
        <v>54535</v>
      </c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</row>
    <row r="80" spans="1:45" x14ac:dyDescent="0.3">
      <c r="A80" s="25"/>
      <c r="B80" s="99" t="s">
        <v>47</v>
      </c>
      <c r="C80" s="93">
        <f>(C77+C78-C79)*1000/$C$2</f>
        <v>10.524295814394705</v>
      </c>
      <c r="D80" s="93">
        <f>(D77+D78-D79)*1000/$D$2</f>
        <v>10.038470695514201</v>
      </c>
      <c r="E80" s="93">
        <f>(E77+E78-E79)*1000/$E$2</f>
        <v>9.2499253384220346</v>
      </c>
      <c r="F80" s="93">
        <f>(F77+F78-F79)*1000/$F$2</f>
        <v>9.4780696338880421</v>
      </c>
      <c r="G80" s="93">
        <f>(G77+G78-G79)*1000/$G$2</f>
        <v>9.6024770928974501</v>
      </c>
      <c r="H80" s="93">
        <f>(H77+H78-H79)*1000/$H$2</f>
        <v>9.5050948105312685</v>
      </c>
      <c r="I80" s="93">
        <f>(I77+I78-I79)*1000/$I$2</f>
        <v>9.4341026275162729</v>
      </c>
      <c r="J80" s="93">
        <f>(J77+J78-J79)*1000/$J$2</f>
        <v>10.443820463990443</v>
      </c>
      <c r="K80" s="93">
        <f>(K77+K78-K79)*1000/$K$2</f>
        <v>10.186572745308871</v>
      </c>
      <c r="L80" s="93">
        <f>(L77+L78-L79)*1000/$L$2</f>
        <v>10.623501308083377</v>
      </c>
      <c r="M80" s="93">
        <f>(M77+M78-M79)*1000/$M$2</f>
        <v>11.231241023899283</v>
      </c>
      <c r="N80" s="93">
        <f>(N77+N78-N79)*1000/$N$2</f>
        <v>12.18154958140507</v>
      </c>
      <c r="O80" s="94">
        <f>(O77+O78-O79)*1000/$O$2</f>
        <v>10.520391618425846</v>
      </c>
    </row>
    <row r="81" spans="1:45" s="7" customFormat="1" x14ac:dyDescent="0.3">
      <c r="A81" s="271" t="s">
        <v>41</v>
      </c>
      <c r="B81" s="272" t="s">
        <v>27</v>
      </c>
      <c r="C81" s="259">
        <v>1514275</v>
      </c>
      <c r="D81" s="259">
        <v>1552915</v>
      </c>
      <c r="E81" s="259">
        <v>1480600</v>
      </c>
      <c r="F81" s="259">
        <v>1388133</v>
      </c>
      <c r="G81" s="259">
        <v>1398332</v>
      </c>
      <c r="H81" s="259">
        <v>1434738</v>
      </c>
      <c r="I81" s="259">
        <v>1450961</v>
      </c>
      <c r="J81" s="259">
        <v>1418927</v>
      </c>
      <c r="K81" s="259">
        <v>1425098</v>
      </c>
      <c r="L81" s="259">
        <v>1390909</v>
      </c>
      <c r="M81" s="259">
        <v>1404680</v>
      </c>
      <c r="N81" s="259">
        <v>1385658</v>
      </c>
      <c r="O81" s="260">
        <v>1318932</v>
      </c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</row>
    <row r="82" spans="1:45" s="7" customFormat="1" x14ac:dyDescent="0.3">
      <c r="A82" s="273" t="s">
        <v>31</v>
      </c>
      <c r="B82" s="274" t="s">
        <v>25</v>
      </c>
      <c r="C82" s="262">
        <v>348352</v>
      </c>
      <c r="D82" s="262">
        <v>317658</v>
      </c>
      <c r="E82" s="262">
        <v>324981</v>
      </c>
      <c r="F82" s="262">
        <v>323553</v>
      </c>
      <c r="G82" s="262">
        <v>307010</v>
      </c>
      <c r="H82" s="262">
        <v>287478</v>
      </c>
      <c r="I82" s="262">
        <v>268271</v>
      </c>
      <c r="J82" s="262">
        <v>268047</v>
      </c>
      <c r="K82" s="262">
        <v>276117</v>
      </c>
      <c r="L82" s="262">
        <v>281590</v>
      </c>
      <c r="M82" s="262">
        <v>235393</v>
      </c>
      <c r="N82" s="262">
        <v>265453</v>
      </c>
      <c r="O82" s="263">
        <v>326245</v>
      </c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</row>
    <row r="83" spans="1:45" s="7" customFormat="1" x14ac:dyDescent="0.3">
      <c r="A83" s="273"/>
      <c r="B83" s="274" t="s">
        <v>26</v>
      </c>
      <c r="C83" s="262">
        <v>271209</v>
      </c>
      <c r="D83" s="262">
        <v>302099</v>
      </c>
      <c r="E83" s="262">
        <v>257294</v>
      </c>
      <c r="F83" s="262">
        <v>229623</v>
      </c>
      <c r="G83" s="262">
        <v>218621</v>
      </c>
      <c r="H83" s="262">
        <v>223554</v>
      </c>
      <c r="I83" s="262">
        <v>223013</v>
      </c>
      <c r="J83" s="262">
        <v>224713</v>
      </c>
      <c r="K83" s="262">
        <v>227324</v>
      </c>
      <c r="L83" s="262">
        <v>215198</v>
      </c>
      <c r="M83" s="262">
        <v>209454</v>
      </c>
      <c r="N83" s="262">
        <v>229766</v>
      </c>
      <c r="O83" s="263">
        <v>240058</v>
      </c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</row>
    <row r="84" spans="1:45" x14ac:dyDescent="0.3">
      <c r="A84" s="275"/>
      <c r="B84" s="276" t="s">
        <v>47</v>
      </c>
      <c r="C84" s="277">
        <f>(C81+C82-C83)*1000/$C$2</f>
        <v>25.35508709558723</v>
      </c>
      <c r="D84" s="277">
        <f>(D81+D82-D83)*1000/$D$2</f>
        <v>24.868645079849255</v>
      </c>
      <c r="E84" s="277">
        <f>(E81+E82-E83)*1000/$E$2</f>
        <v>24.430189795435243</v>
      </c>
      <c r="F84" s="277">
        <f>(F81+F82-F83)*1000/$F$2</f>
        <v>23.267074963972497</v>
      </c>
      <c r="G84" s="277">
        <f>(G81+G82-G83)*1000/$G$2</f>
        <v>23.219872168967189</v>
      </c>
      <c r="H84" s="277">
        <f>(H81+H82-H83)*1000/$H$2</f>
        <v>23.307043000275222</v>
      </c>
      <c r="I84" s="277">
        <f>(I81+I82-I83)*1000/$I$2</f>
        <v>23.208423077013759</v>
      </c>
      <c r="J84" s="277">
        <f>(J81+J82-J83)*1000/$J$2</f>
        <v>22.621915426990643</v>
      </c>
      <c r="K84" s="277">
        <f>(K81+K82-K83)*1000/$K$2</f>
        <v>22.729784698630038</v>
      </c>
      <c r="L84" s="277">
        <f>(L81+L82-L83)*1000/$L$2</f>
        <v>22.386687461964318</v>
      </c>
      <c r="M84" s="277">
        <f>(M81+M82-M83)*1000/$M$2</f>
        <v>21.918761196138686</v>
      </c>
      <c r="N84" s="277">
        <f>(N81+N82-N83)*1000/$N$2</f>
        <v>21.698196752676768</v>
      </c>
      <c r="O84" s="278">
        <f>(O81+O82-O83)*1000/$O$2</f>
        <v>21.379790833885927</v>
      </c>
    </row>
    <row r="85" spans="1:45" s="7" customFormat="1" x14ac:dyDescent="0.3">
      <c r="A85" s="271" t="s">
        <v>42</v>
      </c>
      <c r="B85" s="272" t="s">
        <v>27</v>
      </c>
      <c r="C85" s="259">
        <v>2233449</v>
      </c>
      <c r="D85" s="259">
        <v>2203007</v>
      </c>
      <c r="E85" s="259">
        <v>2153684</v>
      </c>
      <c r="F85" s="259">
        <v>2132020</v>
      </c>
      <c r="G85" s="259">
        <v>2143273</v>
      </c>
      <c r="H85" s="259">
        <v>2164908</v>
      </c>
      <c r="I85" s="259">
        <v>2184448</v>
      </c>
      <c r="J85" s="259">
        <v>2173250</v>
      </c>
      <c r="K85" s="259">
        <v>2187819</v>
      </c>
      <c r="L85" s="259">
        <v>2189116</v>
      </c>
      <c r="M85" s="259">
        <v>2207886</v>
      </c>
      <c r="N85" s="259">
        <v>2232321</v>
      </c>
      <c r="O85" s="260">
        <v>2125069</v>
      </c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</row>
    <row r="86" spans="1:45" s="7" customFormat="1" x14ac:dyDescent="0.3">
      <c r="A86" s="273" t="s">
        <v>31</v>
      </c>
      <c r="B86" s="274" t="s">
        <v>25</v>
      </c>
      <c r="C86" s="262">
        <v>479434</v>
      </c>
      <c r="D86" s="262">
        <v>474009</v>
      </c>
      <c r="E86" s="262">
        <v>494957</v>
      </c>
      <c r="F86" s="262">
        <v>505846</v>
      </c>
      <c r="G86" s="262">
        <v>554388</v>
      </c>
      <c r="H86" s="262">
        <v>529110</v>
      </c>
      <c r="I86" s="262">
        <v>479829</v>
      </c>
      <c r="J86" s="262">
        <v>491753</v>
      </c>
      <c r="K86" s="262">
        <v>510812</v>
      </c>
      <c r="L86" s="262">
        <v>481960</v>
      </c>
      <c r="M86" s="262">
        <v>469954</v>
      </c>
      <c r="N86" s="262">
        <v>518126</v>
      </c>
      <c r="O86" s="263">
        <v>555251</v>
      </c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</row>
    <row r="87" spans="1:45" s="7" customFormat="1" x14ac:dyDescent="0.3">
      <c r="A87" s="273"/>
      <c r="B87" s="274" t="s">
        <v>26</v>
      </c>
      <c r="C87" s="262">
        <v>665324</v>
      </c>
      <c r="D87" s="262">
        <v>680699</v>
      </c>
      <c r="E87" s="262">
        <v>664412</v>
      </c>
      <c r="F87" s="262">
        <v>657242</v>
      </c>
      <c r="G87" s="262">
        <v>635996</v>
      </c>
      <c r="H87" s="262">
        <v>607755</v>
      </c>
      <c r="I87" s="262">
        <v>622240</v>
      </c>
      <c r="J87" s="262">
        <v>621544</v>
      </c>
      <c r="K87" s="262">
        <v>614332</v>
      </c>
      <c r="L87" s="262">
        <v>663969</v>
      </c>
      <c r="M87" s="262">
        <v>668419</v>
      </c>
      <c r="N87" s="262">
        <v>703320</v>
      </c>
      <c r="O87" s="263">
        <v>673563</v>
      </c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</row>
    <row r="88" spans="1:45" x14ac:dyDescent="0.3">
      <c r="A88" s="275"/>
      <c r="B88" s="276" t="s">
        <v>47</v>
      </c>
      <c r="C88" s="277">
        <f>(C85+C86-C87)*1000/$C$2</f>
        <v>32.622501931204432</v>
      </c>
      <c r="D88" s="277">
        <f>(D85+D86-D87)*1000/$D$2</f>
        <v>31.652229453513048</v>
      </c>
      <c r="E88" s="277">
        <f>(E85+E86-E87)*1000/$E$2</f>
        <v>31.308853634763246</v>
      </c>
      <c r="F88" s="277">
        <f>(F85+F86-F87)*1000/$F$2</f>
        <v>31.094040593040283</v>
      </c>
      <c r="G88" s="277">
        <f>(G85+G86-G87)*1000/$G$2</f>
        <v>32.199449496733912</v>
      </c>
      <c r="H88" s="277">
        <f>(H85+H86-H87)*1000/$H$2</f>
        <v>32.445355557746304</v>
      </c>
      <c r="I88" s="277">
        <f>(I85+I86-I87)*1000/$I$2</f>
        <v>31.674814071279634</v>
      </c>
      <c r="J88" s="277">
        <f>(J85+J86-J87)*1000/$J$2</f>
        <v>31.613341719790704</v>
      </c>
      <c r="K88" s="277">
        <f>(K85+K86-K87)*1000/$K$2</f>
        <v>32.143263998199245</v>
      </c>
      <c r="L88" s="277">
        <f>(L85+L86-L87)*1000/$L$2</f>
        <v>30.832667452860331</v>
      </c>
      <c r="M88" s="277">
        <f>(M85+M86-M87)*1000/$M$2</f>
        <v>30.786686770905597</v>
      </c>
      <c r="N88" s="277">
        <f>(N85+N86-N87)*1000/$N$2</f>
        <v>31.251360101676184</v>
      </c>
      <c r="O88" s="278">
        <f>(O85+O86-O87)*1000/$O$2</f>
        <v>30.534100609582833</v>
      </c>
    </row>
    <row r="89" spans="1:45" s="7" customFormat="1" x14ac:dyDescent="0.3">
      <c r="A89" s="271" t="s">
        <v>43</v>
      </c>
      <c r="B89" s="272" t="s">
        <v>27</v>
      </c>
      <c r="C89" s="259">
        <v>1818250</v>
      </c>
      <c r="D89" s="259">
        <v>1830628</v>
      </c>
      <c r="E89" s="259">
        <v>1802558</v>
      </c>
      <c r="F89" s="259">
        <v>1779238</v>
      </c>
      <c r="G89" s="259">
        <v>1835649</v>
      </c>
      <c r="H89" s="259">
        <v>1848699</v>
      </c>
      <c r="I89" s="259">
        <v>1813961</v>
      </c>
      <c r="J89" s="259">
        <v>1761747</v>
      </c>
      <c r="K89" s="259">
        <v>1742033</v>
      </c>
      <c r="L89" s="259">
        <v>1759032</v>
      </c>
      <c r="M89" s="259">
        <v>1716232</v>
      </c>
      <c r="N89" s="259">
        <v>1711365</v>
      </c>
      <c r="O89" s="260">
        <v>1502836</v>
      </c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</row>
    <row r="90" spans="1:45" s="7" customFormat="1" x14ac:dyDescent="0.3">
      <c r="A90" s="273" t="s">
        <v>31</v>
      </c>
      <c r="B90" s="274" t="s">
        <v>25</v>
      </c>
      <c r="C90" s="262">
        <v>371820</v>
      </c>
      <c r="D90" s="262">
        <v>392596</v>
      </c>
      <c r="E90" s="262">
        <v>436935</v>
      </c>
      <c r="F90" s="262">
        <v>438488</v>
      </c>
      <c r="G90" s="262">
        <v>451393</v>
      </c>
      <c r="H90" s="262">
        <v>479103</v>
      </c>
      <c r="I90" s="262">
        <v>499454</v>
      </c>
      <c r="J90" s="262">
        <v>512569</v>
      </c>
      <c r="K90" s="262">
        <v>535045</v>
      </c>
      <c r="L90" s="262">
        <v>545642</v>
      </c>
      <c r="M90" s="262">
        <v>524521</v>
      </c>
      <c r="N90" s="262">
        <v>620818</v>
      </c>
      <c r="O90" s="263">
        <v>668928</v>
      </c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</row>
    <row r="91" spans="1:45" s="7" customFormat="1" x14ac:dyDescent="0.3">
      <c r="A91" s="273"/>
      <c r="B91" s="274" t="s">
        <v>26</v>
      </c>
      <c r="C91" s="262">
        <v>513903</v>
      </c>
      <c r="D91" s="262">
        <v>553359</v>
      </c>
      <c r="E91" s="262">
        <v>585608</v>
      </c>
      <c r="F91" s="262">
        <v>579904</v>
      </c>
      <c r="G91" s="262">
        <v>532238</v>
      </c>
      <c r="H91" s="262">
        <v>537971</v>
      </c>
      <c r="I91" s="262">
        <v>503367</v>
      </c>
      <c r="J91" s="262">
        <v>496423</v>
      </c>
      <c r="K91" s="262">
        <v>474903</v>
      </c>
      <c r="L91" s="262">
        <v>436871</v>
      </c>
      <c r="M91" s="262">
        <v>386369</v>
      </c>
      <c r="N91" s="262">
        <v>433231</v>
      </c>
      <c r="O91" s="263">
        <v>424991</v>
      </c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</row>
    <row r="92" spans="1:45" x14ac:dyDescent="0.3">
      <c r="A92" s="275"/>
      <c r="B92" s="276" t="s">
        <v>47</v>
      </c>
      <c r="C92" s="277">
        <f>(C89+C90-C91)*1000/$C$2</f>
        <v>26.705340942322611</v>
      </c>
      <c r="D92" s="277">
        <f>(D89+D90-D91)*1000/$D$2</f>
        <v>26.476231047669568</v>
      </c>
      <c r="E92" s="277">
        <f>(E89+E90-E91)*1000/$E$2</f>
        <v>26.096404897685908</v>
      </c>
      <c r="F92" s="277">
        <f>(F89+F90-F91)*1000/$F$2</f>
        <v>25.712353153437718</v>
      </c>
      <c r="G92" s="277">
        <f>(G89+G90-G91)*1000/$G$2</f>
        <v>27.406839993241704</v>
      </c>
      <c r="H92" s="277">
        <f>(H89+H90-H91)*1000/$H$2</f>
        <v>27.835274451627921</v>
      </c>
      <c r="I92" s="277">
        <f>(I89+I90-I91)*1000/$I$2</f>
        <v>28.0763442876361</v>
      </c>
      <c r="J92" s="277">
        <f>(J89+J90-J91)*1000/$J$2</f>
        <v>27.504901713332078</v>
      </c>
      <c r="K92" s="277">
        <f>(K89+K90-K91)*1000/$K$2</f>
        <v>27.792455303176144</v>
      </c>
      <c r="L92" s="277">
        <f>(L89+L90-L91)*1000/$L$2</f>
        <v>28.692714821110627</v>
      </c>
      <c r="M92" s="277">
        <f>(M89+M90-M91)*1000/$M$2</f>
        <v>28.411338072498992</v>
      </c>
      <c r="N92" s="277">
        <f>(N89+N90-N91)*1000/$N$2</f>
        <v>28.989326391473607</v>
      </c>
      <c r="O92" s="278">
        <f>(O89+O90-O91)*1000/$O$2</f>
        <v>26.578276554711326</v>
      </c>
    </row>
    <row r="93" spans="1:45" s="7" customFormat="1" x14ac:dyDescent="0.3">
      <c r="A93" s="271" t="s">
        <v>46</v>
      </c>
      <c r="B93" s="272" t="s">
        <v>27</v>
      </c>
      <c r="C93" s="259">
        <v>129968</v>
      </c>
      <c r="D93" s="259">
        <v>128347</v>
      </c>
      <c r="E93" s="259">
        <v>129359</v>
      </c>
      <c r="F93" s="259">
        <v>127686</v>
      </c>
      <c r="G93" s="259">
        <v>128480</v>
      </c>
      <c r="H93" s="259">
        <v>127466</v>
      </c>
      <c r="I93" s="259">
        <v>127237</v>
      </c>
      <c r="J93" s="259">
        <v>124926</v>
      </c>
      <c r="K93" s="259">
        <v>127488</v>
      </c>
      <c r="L93" s="259">
        <v>126471</v>
      </c>
      <c r="M93" s="259">
        <v>123834</v>
      </c>
      <c r="N93" s="259">
        <v>122636</v>
      </c>
      <c r="O93" s="260">
        <v>114432</v>
      </c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</row>
    <row r="94" spans="1:45" s="7" customFormat="1" x14ac:dyDescent="0.3">
      <c r="A94" s="273" t="s">
        <v>31</v>
      </c>
      <c r="B94" s="274" t="s">
        <v>25</v>
      </c>
      <c r="C94" s="279"/>
      <c r="D94" s="279"/>
      <c r="E94" s="279"/>
      <c r="F94" s="279"/>
      <c r="G94" s="279"/>
      <c r="H94" s="279"/>
      <c r="I94" s="279"/>
      <c r="J94" s="279"/>
      <c r="K94" s="279"/>
      <c r="L94" s="279"/>
      <c r="M94" s="279"/>
      <c r="N94" s="279"/>
      <c r="O94" s="280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</row>
    <row r="95" spans="1:45" s="7" customFormat="1" x14ac:dyDescent="0.3">
      <c r="A95" s="273"/>
      <c r="B95" s="274" t="s">
        <v>26</v>
      </c>
      <c r="C95" s="279"/>
      <c r="D95" s="279"/>
      <c r="E95" s="279"/>
      <c r="F95" s="279"/>
      <c r="G95" s="279"/>
      <c r="H95" s="279"/>
      <c r="I95" s="279"/>
      <c r="J95" s="279"/>
      <c r="K95" s="279"/>
      <c r="L95" s="279"/>
      <c r="M95" s="279"/>
      <c r="N95" s="279"/>
      <c r="O95" s="280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</row>
    <row r="96" spans="1:45" x14ac:dyDescent="0.3">
      <c r="A96" s="275"/>
      <c r="B96" s="276" t="s">
        <v>47</v>
      </c>
      <c r="C96" s="277">
        <f>(C93+C94-C95)*1000/$C$2</f>
        <v>2.0707004442825716</v>
      </c>
      <c r="D96" s="277">
        <f>(D93+D94-D95)*1000/$D$2</f>
        <v>2.0349817657566605</v>
      </c>
      <c r="E96" s="277">
        <f>(E93+E94-E95)*1000/$E$2</f>
        <v>2.0411363795909336</v>
      </c>
      <c r="F96" s="277">
        <f>(F93+F94-F95)*1000/$F$2</f>
        <v>2.0045569816193995</v>
      </c>
      <c r="G96" s="277">
        <f>(G93+G94-G95)*1000/$G$2</f>
        <v>2.0066234191007624</v>
      </c>
      <c r="H96" s="277">
        <f>(H93+H94-H95)*1000/$H$2</f>
        <v>1.9823386080871346</v>
      </c>
      <c r="I96" s="277">
        <f>(I93+I94-I95)*1000/$I$2</f>
        <v>1.9736215935300914</v>
      </c>
      <c r="J96" s="277">
        <f>(J93+J94-J95)*1000/$J$2</f>
        <v>1.932668249123948</v>
      </c>
      <c r="K96" s="277">
        <f>(K93+K94-K95)*1000/$K$2</f>
        <v>1.9660712981210593</v>
      </c>
      <c r="L96" s="277">
        <f>(L93+L94-L95)*1000/$L$2</f>
        <v>1.9428153483748993</v>
      </c>
      <c r="M96" s="277">
        <f>(M93+M94-M95)*1000/$M$2</f>
        <v>1.8972821372864739</v>
      </c>
      <c r="N96" s="277">
        <f>(N93+N94-N95)*1000/$N$2</f>
        <v>1.8721563427326005</v>
      </c>
      <c r="O96" s="278">
        <f>(O93+O94-O95)*1000/$O$2</f>
        <v>1.7411566028950107</v>
      </c>
    </row>
    <row r="97" spans="1:45" s="7" customFormat="1" x14ac:dyDescent="0.3">
      <c r="A97" s="271" t="s">
        <v>44</v>
      </c>
      <c r="B97" s="272" t="s">
        <v>27</v>
      </c>
      <c r="C97" s="259">
        <f>A100*13005117</f>
        <v>806317.25399999996</v>
      </c>
      <c r="D97" s="259">
        <f>14191228*0.062</f>
        <v>879856.13599999994</v>
      </c>
      <c r="E97" s="259">
        <f>14259394*0.062</f>
        <v>884082.42799999996</v>
      </c>
      <c r="F97" s="259">
        <f>16130390*0.062</f>
        <v>1000084.1799999999</v>
      </c>
      <c r="G97" s="259">
        <f>16305682*0.062</f>
        <v>1010952.284</v>
      </c>
      <c r="H97" s="259">
        <f>16849176*0.062</f>
        <v>1044648.912</v>
      </c>
      <c r="I97" s="259">
        <f>16677956*0.062</f>
        <v>1034033.272</v>
      </c>
      <c r="J97" s="259">
        <f>17141806*0.062</f>
        <v>1062791.9720000001</v>
      </c>
      <c r="K97" s="259">
        <f>16534416*0.062</f>
        <v>1025133.792</v>
      </c>
      <c r="L97" s="259">
        <f>16209060*0.062</f>
        <v>1004961.72</v>
      </c>
      <c r="M97" s="259">
        <f>16264631*0.062</f>
        <v>1008407.122</v>
      </c>
      <c r="N97" s="259">
        <f>17155845*0.062</f>
        <v>1063662.3899999999</v>
      </c>
      <c r="O97" s="260">
        <f>17339351*0.062</f>
        <v>1075039.7620000001</v>
      </c>
      <c r="P97" s="7" t="s">
        <v>73</v>
      </c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</row>
    <row r="98" spans="1:45" s="7" customFormat="1" x14ac:dyDescent="0.3">
      <c r="A98" s="273" t="s">
        <v>31</v>
      </c>
      <c r="B98" s="274" t="s">
        <v>25</v>
      </c>
      <c r="C98" s="279"/>
      <c r="D98" s="279"/>
      <c r="E98" s="279"/>
      <c r="F98" s="279"/>
      <c r="G98" s="279"/>
      <c r="H98" s="279"/>
      <c r="I98" s="279"/>
      <c r="J98" s="279"/>
      <c r="K98" s="279"/>
      <c r="L98" s="279"/>
      <c r="M98" s="279"/>
      <c r="N98" s="279"/>
      <c r="O98" s="280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</row>
    <row r="99" spans="1:45" s="7" customFormat="1" x14ac:dyDescent="0.3">
      <c r="A99" s="281" t="s">
        <v>334</v>
      </c>
      <c r="B99" s="274" t="s">
        <v>26</v>
      </c>
      <c r="C99" s="279"/>
      <c r="D99" s="279"/>
      <c r="E99" s="279"/>
      <c r="F99" s="279"/>
      <c r="G99" s="279"/>
      <c r="H99" s="279"/>
      <c r="I99" s="279"/>
      <c r="J99" s="279"/>
      <c r="K99" s="279"/>
      <c r="L99" s="279"/>
      <c r="M99" s="279"/>
      <c r="N99" s="279"/>
      <c r="O99" s="280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</row>
    <row r="100" spans="1:45" x14ac:dyDescent="0.3">
      <c r="A100" s="264">
        <v>6.2E-2</v>
      </c>
      <c r="B100" s="276" t="s">
        <v>47</v>
      </c>
      <c r="C100" s="277">
        <f>(C97+C98-C99)*1000/$C$2</f>
        <v>12.846558353521658</v>
      </c>
      <c r="D100" s="277">
        <f>(D97+D98-D99)*1000/$D$2</f>
        <v>13.950393801562269</v>
      </c>
      <c r="E100" s="277">
        <f>(E97+E98-E99)*1000/$E$2</f>
        <v>13.949804855849861</v>
      </c>
      <c r="F100" s="277">
        <f>(F97+F98-F99)*1000/$F$2</f>
        <v>15.700434857589023</v>
      </c>
      <c r="G100" s="277">
        <f>(G97+G98-G99)*1000/$G$2</f>
        <v>15.789232010179054</v>
      </c>
      <c r="H100" s="277">
        <f>(H97+H98-H99)*1000/$H$2</f>
        <v>16.246276420016471</v>
      </c>
      <c r="I100" s="277">
        <f>(I97+I98-I99)*1000/$I$2</f>
        <v>16.03928412370438</v>
      </c>
      <c r="J100" s="277">
        <f>(J97+J98-J99)*1000/$J$2</f>
        <v>16.441928019053105</v>
      </c>
      <c r="K100" s="277">
        <f>(K97+K98-K99)*1000/$K$2</f>
        <v>15.809222241977315</v>
      </c>
      <c r="L100" s="277">
        <f>(L97+L98-L99)*1000/$L$2</f>
        <v>15.437966444048344</v>
      </c>
      <c r="M100" s="277">
        <f>(M97+M98-M99)*1000/$M$2</f>
        <v>15.449979970630537</v>
      </c>
      <c r="N100" s="277">
        <f>(N97+N98-N99)*1000/$N$2</f>
        <v>16.237828125221117</v>
      </c>
      <c r="O100" s="278">
        <f>(O97+O98-O99)*1000/$O$2</f>
        <v>16.357422573938941</v>
      </c>
    </row>
    <row r="101" spans="1:45" s="7" customFormat="1" x14ac:dyDescent="0.3">
      <c r="A101" s="271" t="s">
        <v>45</v>
      </c>
      <c r="B101" s="272" t="s">
        <v>27</v>
      </c>
      <c r="C101" s="259">
        <v>24210282</v>
      </c>
      <c r="D101" s="259">
        <v>25258143</v>
      </c>
      <c r="E101" s="259">
        <v>24855464</v>
      </c>
      <c r="F101" s="259">
        <v>24557640</v>
      </c>
      <c r="G101" s="259">
        <v>25811484</v>
      </c>
      <c r="H101" s="259">
        <v>25937463</v>
      </c>
      <c r="I101" s="259">
        <v>25307889</v>
      </c>
      <c r="J101" s="259">
        <v>25310319</v>
      </c>
      <c r="K101" s="259">
        <v>25270646</v>
      </c>
      <c r="L101" s="259">
        <v>25351386</v>
      </c>
      <c r="M101" s="259">
        <v>25529663</v>
      </c>
      <c r="N101" s="259">
        <v>25096260</v>
      </c>
      <c r="O101" s="260">
        <v>24319301</v>
      </c>
      <c r="P101" s="7" t="s">
        <v>74</v>
      </c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</row>
    <row r="102" spans="1:45" s="7" customFormat="1" x14ac:dyDescent="0.3">
      <c r="A102" s="273" t="s">
        <v>31</v>
      </c>
      <c r="B102" s="274" t="s">
        <v>25</v>
      </c>
      <c r="C102" s="279"/>
      <c r="D102" s="279"/>
      <c r="E102" s="279"/>
      <c r="F102" s="279"/>
      <c r="G102" s="279"/>
      <c r="H102" s="279"/>
      <c r="I102" s="279"/>
      <c r="J102" s="279"/>
      <c r="K102" s="279"/>
      <c r="L102" s="279"/>
      <c r="M102" s="279"/>
      <c r="N102" s="279"/>
      <c r="O102" s="280"/>
      <c r="P102" s="7" t="s">
        <v>75</v>
      </c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</row>
    <row r="103" spans="1:45" s="7" customFormat="1" x14ac:dyDescent="0.3">
      <c r="A103" s="273"/>
      <c r="B103" s="274" t="s">
        <v>26</v>
      </c>
      <c r="C103" s="279"/>
      <c r="D103" s="279"/>
      <c r="E103" s="279"/>
      <c r="F103" s="279"/>
      <c r="G103" s="279"/>
      <c r="H103" s="279"/>
      <c r="I103" s="279"/>
      <c r="J103" s="279"/>
      <c r="K103" s="279"/>
      <c r="L103" s="279"/>
      <c r="M103" s="279"/>
      <c r="N103" s="279"/>
      <c r="O103" s="280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</row>
    <row r="104" spans="1:45" x14ac:dyDescent="0.3">
      <c r="A104" s="275"/>
      <c r="B104" s="276" t="s">
        <v>47</v>
      </c>
      <c r="C104" s="277">
        <f>(C101+C102-C103)*1000/$C$2</f>
        <v>385.72757673893835</v>
      </c>
      <c r="D104" s="277">
        <f>(D101+D102-D103)*1000/$D$2</f>
        <v>400.47574498721616</v>
      </c>
      <c r="E104" s="277">
        <f>(E101+E102-E103)*1000/$E$2</f>
        <v>392.19066166260393</v>
      </c>
      <c r="F104" s="277">
        <f>(F101+F102-F103)*1000/$F$2</f>
        <v>385.53317289362838</v>
      </c>
      <c r="G104" s="277">
        <f>(G101+G102-G103)*1000/$G$2</f>
        <v>403.12833340710318</v>
      </c>
      <c r="H104" s="277">
        <f>(H101+H102-H103)*1000/$H$2</f>
        <v>403.37685579473396</v>
      </c>
      <c r="I104" s="277">
        <f>(I101+I102-I103)*1000/$I$2</f>
        <v>392.5603104212035</v>
      </c>
      <c r="J104" s="277">
        <f>(J101+J102-J103)*1000/$J$2</f>
        <v>391.56340478762303</v>
      </c>
      <c r="K104" s="277">
        <f>(K101+K102-K103)*1000/$K$2</f>
        <v>389.71426162131144</v>
      </c>
      <c r="L104" s="277">
        <f>(L101+L102-L103)*1000/$L$2</f>
        <v>389.44154646817486</v>
      </c>
      <c r="M104" s="277">
        <f>(M101+M102-M103)*1000/$M$2</f>
        <v>391.14438345562132</v>
      </c>
      <c r="N104" s="277">
        <f>(N101+N102-N103)*1000/$N$2</f>
        <v>383.11851607901804</v>
      </c>
      <c r="O104" s="278">
        <f>(O101+O102-O103)*1000/$O$2</f>
        <v>370.03383244146073</v>
      </c>
    </row>
    <row r="105" spans="1:45" x14ac:dyDescent="0.3">
      <c r="A105" t="s">
        <v>37</v>
      </c>
    </row>
    <row r="106" spans="1:45" x14ac:dyDescent="0.3">
      <c r="A106" s="40" t="s">
        <v>72</v>
      </c>
    </row>
    <row r="108" spans="1:45" s="7" customFormat="1" x14ac:dyDescent="0.3">
      <c r="A108" s="38" t="s">
        <v>91</v>
      </c>
      <c r="B108" s="34" t="s">
        <v>27</v>
      </c>
      <c r="C108" s="34">
        <v>378323</v>
      </c>
      <c r="D108" s="34">
        <v>389640</v>
      </c>
      <c r="E108" s="34">
        <v>389577</v>
      </c>
      <c r="F108" s="34">
        <v>361024</v>
      </c>
      <c r="G108" s="34">
        <v>390721</v>
      </c>
      <c r="H108" s="34">
        <v>355450</v>
      </c>
      <c r="I108" s="34">
        <v>354049</v>
      </c>
      <c r="J108" s="34">
        <v>451691</v>
      </c>
      <c r="K108" s="34">
        <v>440354</v>
      </c>
      <c r="L108" s="34">
        <v>392246</v>
      </c>
      <c r="M108" s="34">
        <v>384718</v>
      </c>
      <c r="N108" s="34">
        <v>493650</v>
      </c>
      <c r="O108" s="35">
        <v>427279</v>
      </c>
      <c r="P108" s="7" t="s">
        <v>98</v>
      </c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</row>
    <row r="109" spans="1:45" s="7" customFormat="1" x14ac:dyDescent="0.3">
      <c r="A109" s="39" t="s">
        <v>31</v>
      </c>
      <c r="B109" s="36" t="s">
        <v>25</v>
      </c>
      <c r="C109" s="36"/>
      <c r="D109" s="36"/>
      <c r="E109" s="36">
        <v>41341</v>
      </c>
      <c r="F109" s="36">
        <v>39461</v>
      </c>
      <c r="G109" s="36">
        <v>43062</v>
      </c>
      <c r="H109" s="36">
        <v>44833</v>
      </c>
      <c r="I109" s="36">
        <v>41690</v>
      </c>
      <c r="J109" s="36">
        <v>38436</v>
      </c>
      <c r="K109" s="36">
        <v>38054</v>
      </c>
      <c r="L109" s="36">
        <v>42637</v>
      </c>
      <c r="M109" s="36">
        <v>44582</v>
      </c>
      <c r="N109" s="36">
        <v>42685</v>
      </c>
      <c r="O109" s="37">
        <v>42727</v>
      </c>
      <c r="P109" s="7" t="s">
        <v>97</v>
      </c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</row>
    <row r="110" spans="1:45" s="7" customFormat="1" x14ac:dyDescent="0.3">
      <c r="A110" s="39" t="s">
        <v>93</v>
      </c>
      <c r="B110" s="78" t="s">
        <v>26</v>
      </c>
      <c r="C110" s="36"/>
      <c r="D110" s="36"/>
      <c r="E110" s="36">
        <v>4334</v>
      </c>
      <c r="F110" s="36">
        <v>4129</v>
      </c>
      <c r="G110" s="36">
        <v>4698</v>
      </c>
      <c r="H110" s="36">
        <v>4769</v>
      </c>
      <c r="I110" s="36">
        <v>5328</v>
      </c>
      <c r="J110" s="36">
        <v>5556</v>
      </c>
      <c r="K110" s="36">
        <v>6308</v>
      </c>
      <c r="L110" s="36">
        <v>8438</v>
      </c>
      <c r="M110" s="36">
        <v>9412</v>
      </c>
      <c r="N110" s="36">
        <v>5653</v>
      </c>
      <c r="O110" s="37">
        <v>8646</v>
      </c>
      <c r="P110" s="7" t="s">
        <v>95</v>
      </c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</row>
    <row r="111" spans="1:45" x14ac:dyDescent="0.3">
      <c r="A111" s="30" t="s">
        <v>92</v>
      </c>
      <c r="B111" s="42" t="s">
        <v>47</v>
      </c>
      <c r="C111" s="32">
        <f>(C108+C109-C110)*1000/$C$2</f>
        <v>6.0275883616145149</v>
      </c>
      <c r="D111" s="32">
        <f>(D108+D109-D110)*1000/$D$2</f>
        <v>6.1778638784656064</v>
      </c>
      <c r="E111" s="32">
        <f>(E108+E109-E110)*1000/$E$2</f>
        <v>6.7310053521704623</v>
      </c>
      <c r="F111" s="32">
        <f>(F108+F109-F110)*1000/$F$2</f>
        <v>6.2224377536044573</v>
      </c>
      <c r="G111" s="32">
        <f>(G108+G109-G110)*1000/$G$2</f>
        <v>6.7015256054238055</v>
      </c>
      <c r="H111" s="32">
        <f>(H108+H109-H110)*1000/$H$2</f>
        <v>6.1509945572856681</v>
      </c>
      <c r="I111" s="32">
        <f>(I108+I109-I110)*1000/$I$2</f>
        <v>6.0558137959215985</v>
      </c>
      <c r="J111" s="32">
        <f>(J108+J109-J110)*1000/$J$2</f>
        <v>7.4965578514179638</v>
      </c>
      <c r="K111" s="32">
        <f>(K108+K109-K110)*1000/$K$2</f>
        <v>7.2805460893805858</v>
      </c>
      <c r="L111" s="32">
        <f>(L108+L109-L110)*1000/$L$2</f>
        <v>6.5509396718436159</v>
      </c>
      <c r="M111" s="32">
        <f>(M108+M109-M110)*1000/$M$2</f>
        <v>6.4331766886391692</v>
      </c>
      <c r="N111" s="32">
        <f>(N108+N109-N110)*1000/$N$2</f>
        <v>8.101370497032045</v>
      </c>
      <c r="O111" s="33">
        <f>(O108+O109-O110)*1000/$O$2</f>
        <v>7.0198896314985504</v>
      </c>
      <c r="P111" t="s">
        <v>96</v>
      </c>
    </row>
    <row r="112" spans="1:45" s="7" customFormat="1" x14ac:dyDescent="0.3">
      <c r="A112" s="38" t="s">
        <v>94</v>
      </c>
      <c r="B112" s="34" t="s">
        <v>27</v>
      </c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5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</row>
    <row r="113" spans="1:45" s="7" customFormat="1" x14ac:dyDescent="0.3">
      <c r="A113" s="39" t="s">
        <v>31</v>
      </c>
      <c r="B113" s="36" t="s">
        <v>25</v>
      </c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7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</row>
    <row r="114" spans="1:45" s="7" customFormat="1" x14ac:dyDescent="0.3">
      <c r="A114" s="39" t="s">
        <v>102</v>
      </c>
      <c r="B114" s="36" t="s">
        <v>26</v>
      </c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7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</row>
    <row r="115" spans="1:45" x14ac:dyDescent="0.3">
      <c r="A115" s="30" t="s">
        <v>103</v>
      </c>
      <c r="B115" s="42" t="s">
        <v>47</v>
      </c>
      <c r="C115" s="32">
        <f>(C112+C113-C114)*1000/$C$2</f>
        <v>0</v>
      </c>
      <c r="D115" s="32">
        <f>(D112+D113-D114)*1000/$D$2</f>
        <v>0</v>
      </c>
      <c r="E115" s="32">
        <f>(E112+E113-E114)*1000/$E$2</f>
        <v>0</v>
      </c>
      <c r="F115" s="32">
        <f>(F112+F113-F114)*1000/$F$2</f>
        <v>0</v>
      </c>
      <c r="G115" s="32">
        <f>(G112+G113-G114)*1000/$G$2</f>
        <v>0</v>
      </c>
      <c r="H115" s="32">
        <f>(H112+H113-H114)*1000/$H$2</f>
        <v>0</v>
      </c>
      <c r="I115" s="32">
        <f>(I112+I113-I114)*1000/$I$2</f>
        <v>0</v>
      </c>
      <c r="J115" s="32">
        <f>(J112+J113-J114)*1000/$J$2</f>
        <v>0</v>
      </c>
      <c r="K115" s="32">
        <f>(K112+K113-K114)*1000/$K$2</f>
        <v>0</v>
      </c>
      <c r="L115" s="32">
        <f>(L112+L113-L114)*1000/$L$2</f>
        <v>0</v>
      </c>
      <c r="M115" s="32">
        <f>(M112+M113-M114)*1000/$M$2</f>
        <v>0</v>
      </c>
      <c r="N115" s="32">
        <f>(N112+N113-N114)*1000/$N$2</f>
        <v>0</v>
      </c>
      <c r="O115" s="33">
        <f>(O112+O113-O114)*1000/$O$2</f>
        <v>0</v>
      </c>
    </row>
    <row r="116" spans="1:45" x14ac:dyDescent="0.3">
      <c r="E116" s="204"/>
      <c r="F116" s="204"/>
      <c r="H116" s="77"/>
    </row>
    <row r="117" spans="1:45" x14ac:dyDescent="0.3">
      <c r="E117" s="74"/>
      <c r="F117" s="74"/>
      <c r="H117" s="77"/>
      <c r="P117" t="s">
        <v>99</v>
      </c>
    </row>
    <row r="118" spans="1:45" x14ac:dyDescent="0.3">
      <c r="E118" s="74"/>
      <c r="F118" s="74"/>
      <c r="H118" s="77"/>
      <c r="P118" t="s">
        <v>100</v>
      </c>
    </row>
    <row r="119" spans="1:45" x14ac:dyDescent="0.3">
      <c r="E119" s="74"/>
      <c r="F119" s="74"/>
      <c r="H119" s="77"/>
      <c r="P119" t="s">
        <v>101</v>
      </c>
    </row>
    <row r="120" spans="1:45" x14ac:dyDescent="0.3">
      <c r="E120" s="74"/>
      <c r="F120" s="74"/>
      <c r="H120" s="77"/>
    </row>
    <row r="121" spans="1:45" x14ac:dyDescent="0.3">
      <c r="E121" s="74"/>
      <c r="F121" s="74"/>
      <c r="H121" s="77"/>
    </row>
    <row r="122" spans="1:45" x14ac:dyDescent="0.3">
      <c r="E122" s="74"/>
      <c r="F122" s="74"/>
      <c r="H122" s="77"/>
    </row>
    <row r="123" spans="1:45" x14ac:dyDescent="0.3">
      <c r="E123" s="74"/>
      <c r="F123" s="74"/>
      <c r="H123" s="77"/>
    </row>
    <row r="124" spans="1:45" x14ac:dyDescent="0.3">
      <c r="E124" s="74"/>
      <c r="F124" s="74"/>
      <c r="H124" s="77"/>
    </row>
    <row r="125" spans="1:45" x14ac:dyDescent="0.3">
      <c r="E125" s="74"/>
      <c r="F125" s="74"/>
      <c r="H125" s="77"/>
    </row>
    <row r="126" spans="1:45" x14ac:dyDescent="0.3">
      <c r="E126" s="74"/>
      <c r="F126" s="74"/>
      <c r="H126" s="77"/>
    </row>
  </sheetData>
  <sheetProtection password="D6AD" sheet="1" objects="1" scenarios="1" selectLockedCells="1" selectUnlockedCells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11</vt:i4>
      </vt:variant>
    </vt:vector>
  </HeadingPairs>
  <TitlesOfParts>
    <vt:vector size="11" baseType="lpstr">
      <vt:lpstr>Lisez-moi</vt:lpstr>
      <vt:lpstr>Hypothèses conso</vt:lpstr>
      <vt:lpstr>Hypothèses production</vt:lpstr>
      <vt:lpstr>Résultats</vt:lpstr>
      <vt:lpstr>Calcul R84</vt:lpstr>
      <vt:lpstr>Equivalence protéique</vt:lpstr>
      <vt:lpstr>Calcul Fr métro</vt:lpstr>
      <vt:lpstr>cereal - util hum anim indus</vt:lpstr>
      <vt:lpstr>calcul conso</vt:lpstr>
      <vt:lpstr>besoin alim animale</vt:lpstr>
      <vt:lpstr>huile colza tournesol soja</vt:lpstr>
    </vt:vector>
  </TitlesOfParts>
  <Company>Ministère de l'Agriculture et de l'Alimentation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DROSNE</dc:creator>
  <cp:lastModifiedBy>David DROSNE</cp:lastModifiedBy>
  <dcterms:created xsi:type="dcterms:W3CDTF">2023-04-20T08:17:44Z</dcterms:created>
  <dcterms:modified xsi:type="dcterms:W3CDTF">2024-11-28T14:20:07Z</dcterms:modified>
</cp:coreProperties>
</file>